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0476" windowHeight="9048" tabRatio="978" firstSheet="1" activeTab="1"/>
  </bookViews>
  <sheets>
    <sheet name="Instructions" sheetId="1" state="hidden" r:id="rId1"/>
    <sheet name="DISCLAIMER" sheetId="38" r:id="rId2"/>
    <sheet name="PROFILE" sheetId="11" r:id="rId3"/>
    <sheet name="Work Sheet" sheetId="12" r:id="rId4"/>
    <sheet name="IND (BUS PLUS)" sheetId="3" r:id="rId5"/>
    <sheet name="Annex-A" sheetId="4" r:id="rId6"/>
    <sheet name="Annex-B" sheetId="5" r:id="rId7"/>
    <sheet name="Annex-F" sheetId="9" r:id="rId8"/>
    <sheet name="Wealth Statement" sheetId="10" r:id="rId9"/>
    <sheet name="Annex-C" sheetId="6" r:id="rId10"/>
    <sheet name="Annex-D" sheetId="7" r:id="rId11"/>
    <sheet name="Annex-E" sheetId="8" r:id="rId12"/>
    <sheet name="MINIMUM TAX " sheetId="30" r:id="rId13"/>
    <sheet name="ELEC (COMM)" sheetId="45" r:id="rId14"/>
    <sheet name="ELEC (IND)" sheetId="46" r:id="rId15"/>
    <sheet name="NORMAL &amp; PRES INCOME(IND &amp; AOP)" sheetId="47" r:id="rId16"/>
  </sheets>
  <externalReferences>
    <externalReference r:id="rId17"/>
    <externalReference r:id="rId18"/>
    <externalReference r:id="rId19"/>
    <externalReference r:id="rId20"/>
    <externalReference r:id="rId21"/>
    <externalReference r:id="rId22"/>
    <externalReference r:id="rId23"/>
    <externalReference r:id="rId24"/>
  </externalReferences>
  <definedNames>
    <definedName name="__xlnm.Print_Area" localSheetId="12">#REF!</definedName>
    <definedName name="__xlnm.Print_Area" localSheetId="15">#REF!</definedName>
    <definedName name="__xlnm.Print_Area">'Annex-A'!$A$1:$I$47</definedName>
    <definedName name="__xlnm.Print_Area_1" localSheetId="12">#REF!</definedName>
    <definedName name="__xlnm.Print_Area_1" localSheetId="15">#REF!</definedName>
    <definedName name="__xlnm.Print_Area_1">'Annex-B'!$A$1:$G$82</definedName>
    <definedName name="__xlnm.Print_Area_2" localSheetId="12">#REF!</definedName>
    <definedName name="__xlnm.Print_Area_2" localSheetId="15">#REF!</definedName>
    <definedName name="__xlnm.Print_Area_2">'Annex-C'!$A$1:$E$48</definedName>
    <definedName name="__xlnm.Print_Area_3" localSheetId="12">#REF!</definedName>
    <definedName name="__xlnm.Print_Area_3" localSheetId="15">#REF!</definedName>
    <definedName name="__xlnm.Print_Area_3">'Annex-D'!$A$1:$O$28</definedName>
    <definedName name="__xlnm.Print_Area_4" localSheetId="12">#REF!</definedName>
    <definedName name="__xlnm.Print_Area_4" localSheetId="15">#REF!</definedName>
    <definedName name="__xlnm.Print_Area_4">'Annex-E'!$A$1:$I$32</definedName>
    <definedName name="__xlnm.Print_Area_5" localSheetId="12">#REF!</definedName>
    <definedName name="__xlnm.Print_Area_5" localSheetId="15">#REF!</definedName>
    <definedName name="__xlnm.Print_Area_5">'Annex-F'!$A$1:$F$28</definedName>
    <definedName name="__xlnm.Print_Area_6" localSheetId="12">#REF!</definedName>
    <definedName name="__xlnm.Print_Area_6" localSheetId="15">#REF!</definedName>
    <definedName name="__xlnm.Print_Area_6">'IND (BUS PLUS)'!$A$2:$H$175</definedName>
    <definedName name="__xlnm.Print_Area_7" localSheetId="1">#REF!</definedName>
    <definedName name="__xlnm.Print_Area_7" localSheetId="13">#REF!</definedName>
    <definedName name="__xlnm.Print_Area_7" localSheetId="14">#REF!</definedName>
    <definedName name="__xlnm.Print_Area_7" localSheetId="12">#REF!</definedName>
    <definedName name="__xlnm.Print_Area_7" localSheetId="15">#REF!</definedName>
    <definedName name="__xlnm.Print_Area_7">#REF!</definedName>
    <definedName name="__xlnm.Print_Area_8" localSheetId="12">#REF!</definedName>
    <definedName name="__xlnm.Print_Area_8" localSheetId="15">#REF!</definedName>
    <definedName name="__xlnm.Print_Area_8">'Wealth Statement'!$A$1:$J$175</definedName>
    <definedName name="ALL">[1]Electrical!$AJ$5:$AY$5</definedName>
    <definedName name="CNIC" localSheetId="12">#REF!</definedName>
    <definedName name="CNIC" localSheetId="15">#REF!</definedName>
    <definedName name="CNIC">'IND (BUS PLUS)'!$C$5</definedName>
    <definedName name="ExemptIncome" localSheetId="2">#REF!</definedName>
    <definedName name="ExemptIncome" localSheetId="3">#REF!</definedName>
    <definedName name="ExemptIncome">"#REF!"</definedName>
    <definedName name="ExemptIncome_1">"#REF!"</definedName>
    <definedName name="ExemptIncome_2">"#REF!"</definedName>
    <definedName name="ExemptIncome_3">"#REF!"</definedName>
    <definedName name="ExemptIncome_4">"#REF!"</definedName>
    <definedName name="ExemptIncome_5">"#REF!"</definedName>
    <definedName name="ExemptIncome_6">"#REF!"</definedName>
    <definedName name="ExemptIncome_7">"#REF!"</definedName>
    <definedName name="Fourteen" localSheetId="1">'[2]IND (BUS PLUS)'!$C$4</definedName>
    <definedName name="Fourteen" localSheetId="13">'[3]IND (BUS PLUS)'!$C$4</definedName>
    <definedName name="Fourteen" localSheetId="14">'[3]IND (BUS PLUS)'!$C$4</definedName>
    <definedName name="Fourteen" localSheetId="12">'[4]IND (BUS PLUS)'!$C$4</definedName>
    <definedName name="Fourteen" localSheetId="15">'[4]IND (BUS PLUS)'!$C$4</definedName>
    <definedName name="Fourteen">'IND (BUS PLUS)'!$C$5</definedName>
    <definedName name="ghgh" localSheetId="13">#REF!</definedName>
    <definedName name="ghgh" localSheetId="14">#REF!</definedName>
    <definedName name="ghgh">#REF!</definedName>
    <definedName name="MALIK">'[5]IND (BUS PLUS)'!$C$4</definedName>
    <definedName name="_xlnm.Print_Area" localSheetId="5">'Annex-A'!$A$1:$I$47</definedName>
    <definedName name="_xlnm.Print_Area" localSheetId="6">'Annex-B'!$A$1:$G$82</definedName>
    <definedName name="_xlnm.Print_Area" localSheetId="9">'Annex-C'!$A$1:$E$48</definedName>
    <definedName name="_xlnm.Print_Area" localSheetId="10">'Annex-D'!$A$1:$O$28</definedName>
    <definedName name="_xlnm.Print_Area" localSheetId="11">'Annex-E'!$A$1:$I$32</definedName>
    <definedName name="_xlnm.Print_Area" localSheetId="7">'Annex-F'!$A$1:$F$28</definedName>
    <definedName name="_xlnm.Print_Area" localSheetId="4">'IND (BUS PLUS)'!$A$2:$H$175</definedName>
    <definedName name="_xlnm.Print_Area" localSheetId="2">PROFILE!$A$1:$BE$8</definedName>
    <definedName name="_xlnm.Print_Area" localSheetId="8">'Wealth Statement'!$A$1:$J$176</definedName>
    <definedName name="Salary" localSheetId="2">'[6]INDIVIDUAL-AOP (1 of 2)'!#REF!</definedName>
    <definedName name="Salary" localSheetId="3">'[7]IND-AOP (BUS PLUS)'!#REF!</definedName>
    <definedName name="Salary">"#REF!"</definedName>
    <definedName name="Salary_1">"#REF!"</definedName>
    <definedName name="Salary_2">#N/A</definedName>
    <definedName name="Salary_3">"#REF!"</definedName>
    <definedName name="Salary_4">#N/A</definedName>
    <definedName name="Salary_5">#N/A</definedName>
    <definedName name="Salary_6">"#REF!"</definedName>
    <definedName name="Salary_7">#N/A</definedName>
    <definedName name="salary1" localSheetId="2">'[8]INDIVIDUAL-AOP (1 of 2)'!#REF!</definedName>
    <definedName name="salary1" localSheetId="3">'[8]INDIVIDUAL-AOP (1 of 2)'!#REF!</definedName>
    <definedName name="salary1">#N/A</definedName>
    <definedName name="salary1_1">#N/A</definedName>
    <definedName name="salary1_2">#N/A</definedName>
    <definedName name="salary1_3">#N/A</definedName>
    <definedName name="salary1_4">#N/A</definedName>
    <definedName name="salary1_5">#N/A</definedName>
    <definedName name="salary1_6">#N/A</definedName>
    <definedName name="Ten" localSheetId="12">#REF!</definedName>
    <definedName name="Ten" localSheetId="15">#REF!</definedName>
    <definedName name="Ten">'IND (BUS PLUS)'!$C$5</definedName>
  </definedNames>
  <calcPr calcId="162913"/>
</workbook>
</file>

<file path=xl/calcChain.xml><?xml version="1.0" encoding="utf-8"?>
<calcChain xmlns="http://schemas.openxmlformats.org/spreadsheetml/2006/main">
  <c r="F4" i="12" l="1"/>
  <c r="F9" i="12"/>
  <c r="F8" i="12"/>
  <c r="F7" i="12"/>
  <c r="F6" i="12"/>
  <c r="F3" i="12"/>
  <c r="F53" i="12" l="1"/>
  <c r="E53" i="12"/>
  <c r="H91" i="3" l="1"/>
  <c r="H136" i="3"/>
  <c r="H135" i="3"/>
  <c r="H134" i="3"/>
  <c r="H133" i="3"/>
  <c r="H132" i="3"/>
  <c r="H130" i="3"/>
  <c r="H129" i="3"/>
  <c r="H86" i="3"/>
  <c r="J158" i="3"/>
  <c r="J159" i="3" l="1"/>
  <c r="H118" i="3"/>
  <c r="H113" i="3"/>
  <c r="I94" i="3" l="1"/>
  <c r="J94" i="3" l="1"/>
  <c r="H103" i="3"/>
  <c r="J156" i="3" l="1"/>
  <c r="N15" i="30" l="1"/>
  <c r="N14" i="30"/>
  <c r="N46" i="3"/>
  <c r="B9" i="47"/>
  <c r="B13" i="47"/>
  <c r="G64" i="5" l="1"/>
  <c r="E2" i="12"/>
  <c r="F2" i="12"/>
  <c r="E5" i="12"/>
  <c r="E11" i="12"/>
  <c r="F11" i="12"/>
  <c r="E29" i="12"/>
  <c r="E32" i="12" s="1"/>
  <c r="F29" i="12"/>
  <c r="F32" i="12" s="1"/>
  <c r="E17" i="12"/>
  <c r="F17" i="12"/>
  <c r="F5" i="12" l="1"/>
  <c r="F10" i="12" s="1"/>
  <c r="F18" i="12" s="1"/>
  <c r="E10" i="12"/>
  <c r="E18" i="12" s="1"/>
  <c r="I15" i="4" l="1"/>
  <c r="I11" i="4"/>
  <c r="J157" i="3"/>
  <c r="H157" i="3" s="1"/>
  <c r="H156" i="3"/>
  <c r="J155" i="3"/>
  <c r="H155" i="3" s="1"/>
  <c r="J154" i="3"/>
  <c r="H154" i="3" s="1"/>
  <c r="J153" i="3"/>
  <c r="H153" i="3" s="1"/>
  <c r="N11" i="30" l="1"/>
  <c r="Q37" i="46" l="1"/>
  <c r="Q38" i="46"/>
  <c r="Q39" i="46"/>
  <c r="Q40" i="46"/>
  <c r="Q41" i="46"/>
  <c r="Q42" i="46"/>
  <c r="Q43" i="46"/>
  <c r="Q44" i="46"/>
  <c r="Q45" i="46"/>
  <c r="Q46" i="46"/>
  <c r="Q47" i="46"/>
  <c r="Q36" i="46"/>
  <c r="A37" i="46"/>
  <c r="A38" i="46"/>
  <c r="A39" i="46"/>
  <c r="A40" i="46"/>
  <c r="A41" i="46"/>
  <c r="A42" i="46"/>
  <c r="A43" i="46"/>
  <c r="A44" i="46"/>
  <c r="A45" i="46"/>
  <c r="A46" i="46"/>
  <c r="A47" i="46"/>
  <c r="A36" i="46"/>
  <c r="Q15" i="46"/>
  <c r="Q16" i="46"/>
  <c r="Q17" i="46"/>
  <c r="Q18" i="46"/>
  <c r="Q19" i="46"/>
  <c r="Q20" i="46"/>
  <c r="Q21" i="46"/>
  <c r="Q22" i="46"/>
  <c r="Q23" i="46"/>
  <c r="Q24" i="46"/>
  <c r="Q25" i="46"/>
  <c r="Q14" i="46"/>
  <c r="Q37" i="45"/>
  <c r="Q38" i="45"/>
  <c r="Q39" i="45"/>
  <c r="Q40" i="45"/>
  <c r="Q41" i="45"/>
  <c r="Q42" i="45"/>
  <c r="Q43" i="45"/>
  <c r="Q44" i="45"/>
  <c r="Q45" i="45"/>
  <c r="Q46" i="45"/>
  <c r="Q47" i="45"/>
  <c r="Q36" i="45"/>
  <c r="A37" i="45"/>
  <c r="A38" i="45"/>
  <c r="A39" i="45"/>
  <c r="A40" i="45"/>
  <c r="A41" i="45"/>
  <c r="A42" i="45"/>
  <c r="A43" i="45"/>
  <c r="A44" i="45"/>
  <c r="A45" i="45"/>
  <c r="A46" i="45"/>
  <c r="A47" i="45"/>
  <c r="A36" i="45"/>
  <c r="Q15" i="45"/>
  <c r="Q16" i="45"/>
  <c r="Q17" i="45"/>
  <c r="Q18" i="45"/>
  <c r="Q19" i="45"/>
  <c r="Q20" i="45"/>
  <c r="Q21" i="45"/>
  <c r="Q22" i="45"/>
  <c r="Q23" i="45"/>
  <c r="Q24" i="45"/>
  <c r="Q25" i="45"/>
  <c r="Q14" i="45"/>
  <c r="F31" i="30" l="1"/>
  <c r="E31" i="30"/>
  <c r="M31" i="30" s="1"/>
  <c r="F9" i="8"/>
  <c r="E9" i="8"/>
  <c r="B6" i="8"/>
  <c r="B7" i="8" s="1"/>
  <c r="B8" i="8" s="1"/>
  <c r="B9" i="8" s="1"/>
  <c r="B10" i="8" s="1"/>
  <c r="B11" i="8" s="1"/>
  <c r="B12" i="8" s="1"/>
  <c r="B13" i="8" s="1"/>
  <c r="B14" i="8" s="1"/>
  <c r="B15" i="8" s="1"/>
  <c r="B16" i="8" s="1"/>
  <c r="B17" i="8" s="1"/>
  <c r="B18" i="8" s="1"/>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8" i="7"/>
  <c r="K31" i="30" l="1"/>
  <c r="B58" i="8"/>
  <c r="B59" i="8" s="1"/>
  <c r="B60" i="8" s="1"/>
  <c r="B61" i="8" s="1"/>
  <c r="B62" i="8" s="1"/>
  <c r="B63" i="8" s="1"/>
  <c r="B64" i="8" s="1"/>
  <c r="D31" i="30"/>
  <c r="B31" i="30"/>
  <c r="C31" i="30"/>
  <c r="H31" i="30" s="1"/>
  <c r="N13" i="30"/>
  <c r="N12" i="30"/>
  <c r="R11" i="30"/>
  <c r="R12" i="30" s="1"/>
  <c r="R13" i="30" s="1"/>
  <c r="R14" i="30" s="1"/>
  <c r="R15" i="30" s="1"/>
  <c r="N10" i="30"/>
  <c r="G31" i="30" l="1"/>
  <c r="I31" i="30"/>
  <c r="F43" i="3"/>
  <c r="F9" i="47"/>
  <c r="F10" i="47" s="1"/>
  <c r="F11" i="47" s="1"/>
  <c r="F12" i="47" s="1"/>
  <c r="F13" i="47" s="1"/>
  <c r="P47" i="3" l="1"/>
  <c r="P48" i="3" s="1"/>
  <c r="P49" i="3" s="1"/>
  <c r="P50" i="3" s="1"/>
  <c r="P51" i="3" s="1"/>
  <c r="H14" i="3" l="1"/>
  <c r="H13" i="3"/>
  <c r="F25" i="3"/>
  <c r="F167" i="3" l="1"/>
  <c r="H167" i="3" s="1"/>
  <c r="H25" i="3"/>
  <c r="I18" i="12"/>
  <c r="B12" i="47" l="1"/>
  <c r="B11" i="47"/>
  <c r="B10" i="47"/>
  <c r="B8" i="47"/>
  <c r="I13" i="47"/>
  <c r="I7" i="47" l="1"/>
  <c r="I12" i="47"/>
  <c r="I8" i="47"/>
  <c r="I14" i="47"/>
  <c r="I9" i="47"/>
  <c r="I10" i="47"/>
  <c r="I11" i="47"/>
  <c r="G14" i="47"/>
  <c r="G7" i="47"/>
  <c r="H7" i="47" s="1"/>
  <c r="G11" i="47"/>
  <c r="H11" i="47" s="1"/>
  <c r="G9" i="47"/>
  <c r="H9" i="47" s="1"/>
  <c r="G13" i="47"/>
  <c r="H13" i="47" s="1"/>
  <c r="G8" i="47"/>
  <c r="H8" i="47" s="1"/>
  <c r="G12" i="47"/>
  <c r="H12" i="47" s="1"/>
  <c r="G10" i="47"/>
  <c r="H10" i="47" s="1"/>
  <c r="D37" i="30"/>
  <c r="D36" i="30"/>
  <c r="D35" i="30"/>
  <c r="D34" i="30"/>
  <c r="D33" i="30"/>
  <c r="H131" i="3"/>
  <c r="D2" i="12"/>
  <c r="H18" i="3"/>
  <c r="I21" i="47" l="1"/>
  <c r="I4" i="47" s="1"/>
  <c r="G21" i="47"/>
  <c r="E4" i="47" s="1"/>
  <c r="AQ47" i="46" l="1"/>
  <c r="AP47" i="46"/>
  <c r="AQ46" i="46"/>
  <c r="AP46" i="46"/>
  <c r="AQ45" i="46"/>
  <c r="AP45" i="46"/>
  <c r="AQ44" i="46"/>
  <c r="AP44" i="46"/>
  <c r="AQ43" i="46"/>
  <c r="AP43" i="46"/>
  <c r="AQ42" i="46"/>
  <c r="AP42" i="46"/>
  <c r="AQ41" i="46"/>
  <c r="AP41" i="46"/>
  <c r="AQ40" i="46"/>
  <c r="AP40" i="46"/>
  <c r="AQ39" i="46"/>
  <c r="AP39" i="46"/>
  <c r="AQ38" i="46"/>
  <c r="AP38" i="46"/>
  <c r="AQ37" i="46"/>
  <c r="AP37" i="46"/>
  <c r="AQ36" i="46"/>
  <c r="AP36" i="46"/>
  <c r="AQ26" i="46"/>
  <c r="AP26" i="46"/>
  <c r="AQ25" i="46"/>
  <c r="AP25" i="46"/>
  <c r="AQ24" i="46"/>
  <c r="AP24" i="46"/>
  <c r="AQ23" i="46"/>
  <c r="AP23" i="46"/>
  <c r="AQ22" i="46"/>
  <c r="AP22" i="46"/>
  <c r="AQ21" i="46"/>
  <c r="AP21" i="46"/>
  <c r="AQ20" i="46"/>
  <c r="AP20" i="46"/>
  <c r="AQ19" i="46"/>
  <c r="AP19" i="46"/>
  <c r="AQ18" i="46"/>
  <c r="AP18" i="46"/>
  <c r="AQ17" i="46"/>
  <c r="AP17" i="46"/>
  <c r="AQ16" i="46"/>
  <c r="AP16" i="46"/>
  <c r="AQ15" i="46"/>
  <c r="AP15" i="46"/>
  <c r="AQ14" i="46"/>
  <c r="AP14" i="46"/>
  <c r="X49" i="46" l="1"/>
  <c r="H49" i="46"/>
  <c r="AQ48" i="46"/>
  <c r="AP48" i="46"/>
  <c r="C47" i="46"/>
  <c r="L47" i="46" s="1"/>
  <c r="S47" i="46"/>
  <c r="AB47" i="46" s="1"/>
  <c r="S46" i="46"/>
  <c r="AB46" i="46" s="1"/>
  <c r="C46" i="46"/>
  <c r="L46" i="46" s="1"/>
  <c r="S45" i="46"/>
  <c r="AB45" i="46" s="1"/>
  <c r="C45" i="46"/>
  <c r="L45" i="46" s="1"/>
  <c r="S44" i="46"/>
  <c r="AB44" i="46" s="1"/>
  <c r="C44" i="46"/>
  <c r="L44" i="46" s="1"/>
  <c r="C43" i="46"/>
  <c r="L43" i="46" s="1"/>
  <c r="S43" i="46"/>
  <c r="AB43" i="46" s="1"/>
  <c r="S42" i="46"/>
  <c r="AB42" i="46" s="1"/>
  <c r="C42" i="46"/>
  <c r="L42" i="46" s="1"/>
  <c r="S41" i="46"/>
  <c r="AB41" i="46" s="1"/>
  <c r="C41" i="46"/>
  <c r="L41" i="46" s="1"/>
  <c r="S40" i="46"/>
  <c r="AB40" i="46" s="1"/>
  <c r="C40" i="46"/>
  <c r="L40" i="46" s="1"/>
  <c r="C39" i="46"/>
  <c r="L39" i="46" s="1"/>
  <c r="S39" i="46"/>
  <c r="AB39" i="46" s="1"/>
  <c r="S38" i="46"/>
  <c r="AB38" i="46" s="1"/>
  <c r="C38" i="46"/>
  <c r="L38" i="46" s="1"/>
  <c r="S37" i="46"/>
  <c r="AB37" i="46" s="1"/>
  <c r="C37" i="46"/>
  <c r="L37" i="46" s="1"/>
  <c r="S36" i="46"/>
  <c r="C36" i="46"/>
  <c r="X27" i="46"/>
  <c r="H27" i="46"/>
  <c r="C25" i="46"/>
  <c r="L25" i="46" s="1"/>
  <c r="S25" i="46"/>
  <c r="AB25" i="46" s="1"/>
  <c r="S24" i="46"/>
  <c r="AB24" i="46" s="1"/>
  <c r="C24" i="46"/>
  <c r="L24" i="46" s="1"/>
  <c r="S23" i="46"/>
  <c r="AB23" i="46" s="1"/>
  <c r="C23" i="46"/>
  <c r="L23" i="46" s="1"/>
  <c r="S22" i="46"/>
  <c r="AB22" i="46" s="1"/>
  <c r="C22" i="46"/>
  <c r="L22" i="46" s="1"/>
  <c r="C21" i="46"/>
  <c r="L21" i="46" s="1"/>
  <c r="S21" i="46"/>
  <c r="AB21" i="46" s="1"/>
  <c r="S20" i="46"/>
  <c r="AB20" i="46" s="1"/>
  <c r="C20" i="46"/>
  <c r="L20" i="46" s="1"/>
  <c r="S19" i="46"/>
  <c r="AB19" i="46" s="1"/>
  <c r="C19" i="46"/>
  <c r="L19" i="46" s="1"/>
  <c r="S18" i="46"/>
  <c r="AB18" i="46" s="1"/>
  <c r="C18" i="46"/>
  <c r="L18" i="46" s="1"/>
  <c r="C17" i="46"/>
  <c r="L17" i="46" s="1"/>
  <c r="S17" i="46"/>
  <c r="AB17" i="46" s="1"/>
  <c r="S16" i="46"/>
  <c r="AB16" i="46" s="1"/>
  <c r="C16" i="46"/>
  <c r="L16" i="46" s="1"/>
  <c r="S15" i="46"/>
  <c r="AB15" i="46" s="1"/>
  <c r="C15" i="46"/>
  <c r="L15" i="46" s="1"/>
  <c r="S14" i="46"/>
  <c r="C14" i="46"/>
  <c r="X49" i="45"/>
  <c r="H49" i="45"/>
  <c r="AQ48" i="45"/>
  <c r="AP48" i="45"/>
  <c r="AQ47" i="45"/>
  <c r="AP47" i="45"/>
  <c r="AQ46" i="45"/>
  <c r="AP46" i="45"/>
  <c r="AQ45" i="45"/>
  <c r="AP45" i="45"/>
  <c r="AQ44" i="45"/>
  <c r="AP44" i="45"/>
  <c r="AQ43" i="45"/>
  <c r="AP43" i="45"/>
  <c r="AQ42" i="45"/>
  <c r="AP42" i="45"/>
  <c r="AQ41" i="45"/>
  <c r="AP41" i="45"/>
  <c r="AQ40" i="45"/>
  <c r="AP40" i="45"/>
  <c r="AQ39" i="45"/>
  <c r="AP39" i="45"/>
  <c r="AQ38" i="45"/>
  <c r="AP38" i="45"/>
  <c r="AQ37" i="45"/>
  <c r="AP37" i="45"/>
  <c r="AQ36" i="45"/>
  <c r="S36" i="45" s="1"/>
  <c r="AP36" i="45"/>
  <c r="C36" i="45" s="1"/>
  <c r="X27" i="45"/>
  <c r="H27" i="45"/>
  <c r="AQ26" i="45"/>
  <c r="AP26" i="45"/>
  <c r="AQ25" i="45"/>
  <c r="S25" i="45" s="1"/>
  <c r="AP25" i="45"/>
  <c r="C25" i="45" s="1"/>
  <c r="AQ24" i="45"/>
  <c r="AP24" i="45"/>
  <c r="C24" i="45" s="1"/>
  <c r="AQ23" i="45"/>
  <c r="AP23" i="45"/>
  <c r="C23" i="45" s="1"/>
  <c r="AQ22" i="45"/>
  <c r="S22" i="45" s="1"/>
  <c r="AP22" i="45"/>
  <c r="C22" i="45" s="1"/>
  <c r="AQ21" i="45"/>
  <c r="S21" i="45" s="1"/>
  <c r="AP21" i="45"/>
  <c r="C21" i="45" s="1"/>
  <c r="AQ20" i="45"/>
  <c r="AP20" i="45"/>
  <c r="C20" i="45" s="1"/>
  <c r="AQ19" i="45"/>
  <c r="AP19" i="45"/>
  <c r="AQ18" i="45"/>
  <c r="S18" i="45" s="1"/>
  <c r="AP18" i="45"/>
  <c r="AQ17" i="45"/>
  <c r="S17" i="45" s="1"/>
  <c r="AP17" i="45"/>
  <c r="C17" i="45" s="1"/>
  <c r="AQ16" i="45"/>
  <c r="AP16" i="45"/>
  <c r="C16" i="45" s="1"/>
  <c r="AQ15" i="45"/>
  <c r="AP15" i="45"/>
  <c r="AQ14" i="45"/>
  <c r="S14" i="45" s="1"/>
  <c r="AP14" i="45"/>
  <c r="C14" i="45" s="1"/>
  <c r="F6" i="9"/>
  <c r="H25" i="7"/>
  <c r="H24" i="7"/>
  <c r="H23" i="7"/>
  <c r="H22" i="7"/>
  <c r="H26" i="7" s="1"/>
  <c r="H27" i="7"/>
  <c r="L18" i="7"/>
  <c r="N18" i="7" s="1"/>
  <c r="L17" i="7"/>
  <c r="N17" i="7" s="1"/>
  <c r="L16" i="7"/>
  <c r="L15" i="7"/>
  <c r="L14" i="7"/>
  <c r="N14" i="7" s="1"/>
  <c r="O14" i="7" s="1"/>
  <c r="L13" i="7"/>
  <c r="N13" i="7" s="1"/>
  <c r="O13" i="7" s="1"/>
  <c r="L12" i="7"/>
  <c r="N12" i="7" s="1"/>
  <c r="O12" i="7" s="1"/>
  <c r="L11" i="7"/>
  <c r="N11" i="7" s="1"/>
  <c r="O11" i="7" s="1"/>
  <c r="L10" i="7"/>
  <c r="N10" i="7" s="1"/>
  <c r="O10" i="7" s="1"/>
  <c r="L9" i="7"/>
  <c r="N9" i="7" s="1"/>
  <c r="O9" i="7" s="1"/>
  <c r="L8" i="7"/>
  <c r="N8" i="7" s="1"/>
  <c r="O8" i="7" s="1"/>
  <c r="L7" i="7"/>
  <c r="N7" i="7" s="1"/>
  <c r="L19" i="7" l="1"/>
  <c r="N16" i="7"/>
  <c r="O16" i="7" s="1"/>
  <c r="O17" i="7"/>
  <c r="S15" i="45"/>
  <c r="AB15" i="45" s="1"/>
  <c r="S19" i="45"/>
  <c r="AB19" i="45" s="1"/>
  <c r="S23" i="45"/>
  <c r="AB23" i="45" s="1"/>
  <c r="S37" i="45"/>
  <c r="S49" i="45" s="1"/>
  <c r="AB49" i="45" s="1"/>
  <c r="S39" i="45"/>
  <c r="AB39" i="45" s="1"/>
  <c r="S41" i="45"/>
  <c r="AB41" i="45" s="1"/>
  <c r="S43" i="45"/>
  <c r="AB43" i="45" s="1"/>
  <c r="S45" i="45"/>
  <c r="AB45" i="45" s="1"/>
  <c r="S47" i="45"/>
  <c r="AB47" i="45" s="1"/>
  <c r="O18" i="7"/>
  <c r="L38" i="45"/>
  <c r="C38" i="45"/>
  <c r="C40" i="45"/>
  <c r="L40" i="45" s="1"/>
  <c r="L42" i="45"/>
  <c r="C42" i="45"/>
  <c r="C44" i="45"/>
  <c r="L44" i="45" s="1"/>
  <c r="L46" i="45"/>
  <c r="C46" i="45"/>
  <c r="S16" i="45"/>
  <c r="AB16" i="45" s="1"/>
  <c r="AB20" i="45"/>
  <c r="S20" i="45"/>
  <c r="S24" i="45"/>
  <c r="AB24" i="45" s="1"/>
  <c r="AB38" i="45"/>
  <c r="S38" i="45"/>
  <c r="S40" i="45"/>
  <c r="AB40" i="45" s="1"/>
  <c r="AB42" i="45"/>
  <c r="S42" i="45"/>
  <c r="S44" i="45"/>
  <c r="AB44" i="45" s="1"/>
  <c r="AB46" i="45"/>
  <c r="S46" i="45"/>
  <c r="C37" i="45"/>
  <c r="L37" i="45" s="1"/>
  <c r="L39" i="45"/>
  <c r="C39" i="45"/>
  <c r="C41" i="45"/>
  <c r="L41" i="45" s="1"/>
  <c r="L43" i="45"/>
  <c r="C43" i="45"/>
  <c r="C45" i="45"/>
  <c r="L45" i="45" s="1"/>
  <c r="L47" i="45"/>
  <c r="C47" i="45"/>
  <c r="N15" i="7"/>
  <c r="O15" i="7" s="1"/>
  <c r="O7" i="7"/>
  <c r="C19" i="45"/>
  <c r="L19" i="45" s="1"/>
  <c r="C18" i="45"/>
  <c r="L18" i="45" s="1"/>
  <c r="C15" i="45"/>
  <c r="L15" i="45" s="1"/>
  <c r="L24" i="45"/>
  <c r="L23" i="45"/>
  <c r="C27" i="46"/>
  <c r="L27" i="46" s="1"/>
  <c r="L14" i="46"/>
  <c r="C49" i="46"/>
  <c r="L49" i="46" s="1"/>
  <c r="L36" i="46"/>
  <c r="AB36" i="46"/>
  <c r="S49" i="46"/>
  <c r="AB49" i="46" s="1"/>
  <c r="AB14" i="46"/>
  <c r="S27" i="46"/>
  <c r="AB27" i="46" s="1"/>
  <c r="L22" i="45"/>
  <c r="AB22" i="45"/>
  <c r="L20" i="45"/>
  <c r="AB25" i="45"/>
  <c r="AB17" i="45"/>
  <c r="AB18" i="45"/>
  <c r="L21" i="45"/>
  <c r="L16" i="45"/>
  <c r="L17" i="45"/>
  <c r="L25" i="45"/>
  <c r="AB14" i="45"/>
  <c r="AB36" i="45"/>
  <c r="C49" i="45"/>
  <c r="L49" i="45" s="1"/>
  <c r="L36" i="45"/>
  <c r="L14" i="45"/>
  <c r="G29" i="3"/>
  <c r="G152" i="3"/>
  <c r="F152" i="3"/>
  <c r="AB37" i="45" l="1"/>
  <c r="S27" i="45"/>
  <c r="AB27" i="45" s="1"/>
  <c r="O19" i="7"/>
  <c r="N19" i="7"/>
  <c r="D52" i="12" s="1"/>
  <c r="D53" i="12" s="1"/>
  <c r="C27" i="45"/>
  <c r="L27" i="45" s="1"/>
  <c r="AB21" i="45"/>
  <c r="H152" i="3"/>
  <c r="I18" i="3"/>
  <c r="F15" i="3"/>
  <c r="F9" i="3" s="1"/>
  <c r="H15" i="3" l="1"/>
  <c r="B7" i="6" l="1"/>
  <c r="B83" i="3"/>
  <c r="C33" i="30"/>
  <c r="H57" i="3" l="1"/>
  <c r="H59" i="3" l="1"/>
  <c r="H60" i="3" l="1"/>
  <c r="H58" i="3"/>
  <c r="H56" i="3"/>
  <c r="H55" i="3"/>
  <c r="H98" i="3" l="1"/>
  <c r="I95" i="3"/>
  <c r="H95" i="3"/>
  <c r="E11" i="5"/>
  <c r="H94" i="3" l="1"/>
  <c r="F28" i="30"/>
  <c r="F29" i="30"/>
  <c r="F30" i="30"/>
  <c r="F32" i="30"/>
  <c r="F38" i="30"/>
  <c r="H31" i="3"/>
  <c r="E28" i="30"/>
  <c r="D28" i="30" s="1"/>
  <c r="H44" i="3" l="1"/>
  <c r="E10" i="5" l="1"/>
  <c r="E9" i="5" s="1"/>
  <c r="E13" i="5"/>
  <c r="G13" i="5" s="1"/>
  <c r="E14" i="5"/>
  <c r="G14" i="5" s="1"/>
  <c r="E15" i="5"/>
  <c r="G15" i="5" s="1"/>
  <c r="E16" i="5"/>
  <c r="G16" i="5" s="1"/>
  <c r="E17" i="5"/>
  <c r="G17" i="5" s="1"/>
  <c r="E18" i="5"/>
  <c r="G18" i="5" s="1"/>
  <c r="E19" i="5"/>
  <c r="G19" i="5" s="1"/>
  <c r="E20" i="5"/>
  <c r="G20" i="5" s="1"/>
  <c r="E22" i="5"/>
  <c r="E23" i="5"/>
  <c r="E24" i="5"/>
  <c r="G24" i="5" s="1"/>
  <c r="G76" i="5" s="1"/>
  <c r="G71" i="5" s="1"/>
  <c r="E29" i="5"/>
  <c r="G29" i="5" s="1"/>
  <c r="E34" i="5"/>
  <c r="G34" i="5" s="1"/>
  <c r="E35" i="5"/>
  <c r="G35" i="5" s="1"/>
  <c r="E36" i="5"/>
  <c r="G36" i="5" s="1"/>
  <c r="E37" i="5"/>
  <c r="G37" i="5" s="1"/>
  <c r="E38" i="5"/>
  <c r="E39" i="5"/>
  <c r="E40" i="5"/>
  <c r="G40" i="5" s="1"/>
  <c r="E41" i="5"/>
  <c r="G41" i="5" s="1"/>
  <c r="E42" i="5"/>
  <c r="G42" i="5" s="1"/>
  <c r="E43" i="5"/>
  <c r="G43" i="5" s="1"/>
  <c r="E44" i="5"/>
  <c r="G44" i="5" s="1"/>
  <c r="E45" i="5"/>
  <c r="E46" i="5"/>
  <c r="E47" i="5"/>
  <c r="E48" i="5"/>
  <c r="G48" i="5" s="1"/>
  <c r="E49" i="5"/>
  <c r="G49" i="5" s="1"/>
  <c r="E50" i="5"/>
  <c r="G50" i="5" s="1"/>
  <c r="E51" i="5"/>
  <c r="G51" i="5" s="1"/>
  <c r="E52" i="5"/>
  <c r="G52" i="5" s="1"/>
  <c r="E53" i="5"/>
  <c r="G53" i="5" s="1"/>
  <c r="F9" i="5"/>
  <c r="F12" i="5"/>
  <c r="F33" i="5"/>
  <c r="F70" i="3"/>
  <c r="H70" i="3" s="1"/>
  <c r="E30" i="5"/>
  <c r="F39" i="3" s="1"/>
  <c r="H39" i="3" s="1"/>
  <c r="E31" i="5"/>
  <c r="G31" i="5" s="1"/>
  <c r="U9" i="30"/>
  <c r="U10" i="30"/>
  <c r="U11" i="30"/>
  <c r="U12" i="30"/>
  <c r="U13" i="30"/>
  <c r="U14" i="30"/>
  <c r="U15" i="30"/>
  <c r="U16" i="30"/>
  <c r="K27" i="30"/>
  <c r="M28" i="30"/>
  <c r="K28" i="30" s="1"/>
  <c r="E29" i="30"/>
  <c r="D29" i="30" s="1"/>
  <c r="E30" i="30"/>
  <c r="D30" i="30" s="1"/>
  <c r="E32" i="30"/>
  <c r="D32" i="30" s="1"/>
  <c r="M33" i="30"/>
  <c r="K33" i="30" s="1"/>
  <c r="M36" i="30"/>
  <c r="K36" i="30" s="1"/>
  <c r="M37" i="30"/>
  <c r="K37" i="30" s="1"/>
  <c r="E38" i="30"/>
  <c r="D38" i="30" s="1"/>
  <c r="E39" i="30"/>
  <c r="D39" i="30" s="1"/>
  <c r="F39" i="30"/>
  <c r="E40" i="30"/>
  <c r="D40" i="30" s="1"/>
  <c r="F40" i="30"/>
  <c r="I20" i="8" s="1"/>
  <c r="E41" i="30"/>
  <c r="F41" i="30"/>
  <c r="I21" i="8" s="1"/>
  <c r="E42" i="30"/>
  <c r="D42" i="30" s="1"/>
  <c r="F42" i="30"/>
  <c r="I22" i="8" s="1"/>
  <c r="E43" i="30"/>
  <c r="D43" i="30" s="1"/>
  <c r="F43" i="30"/>
  <c r="E44" i="30"/>
  <c r="D44" i="30" s="1"/>
  <c r="F44" i="30"/>
  <c r="E45" i="30"/>
  <c r="D45" i="30" s="1"/>
  <c r="F45" i="30"/>
  <c r="E46" i="30"/>
  <c r="D46" i="30" s="1"/>
  <c r="F46" i="30"/>
  <c r="E47" i="30"/>
  <c r="D47" i="30" s="1"/>
  <c r="F47" i="30"/>
  <c r="E48" i="30"/>
  <c r="D48" i="30" s="1"/>
  <c r="F48" i="30"/>
  <c r="E49" i="30"/>
  <c r="D49" i="30" s="1"/>
  <c r="F49" i="30"/>
  <c r="E50" i="30"/>
  <c r="D50" i="30" s="1"/>
  <c r="F50" i="30"/>
  <c r="E51" i="30"/>
  <c r="D51" i="30" s="1"/>
  <c r="F51" i="30"/>
  <c r="E52" i="30"/>
  <c r="D52" i="30" s="1"/>
  <c r="F52" i="30"/>
  <c r="E53" i="30"/>
  <c r="D53" i="30" s="1"/>
  <c r="F53" i="30"/>
  <c r="E54" i="30"/>
  <c r="F54" i="30"/>
  <c r="E55" i="30"/>
  <c r="F55" i="30"/>
  <c r="E56" i="30"/>
  <c r="D56" i="30" s="1"/>
  <c r="F56" i="30"/>
  <c r="E57" i="30"/>
  <c r="D57" i="30" s="1"/>
  <c r="F57" i="30"/>
  <c r="E58" i="30"/>
  <c r="D58" i="30" s="1"/>
  <c r="F58" i="30"/>
  <c r="E59" i="30"/>
  <c r="F59" i="30"/>
  <c r="E60" i="30"/>
  <c r="D60" i="30" s="1"/>
  <c r="F60" i="30"/>
  <c r="I7" i="12"/>
  <c r="D11" i="12"/>
  <c r="D17" i="12"/>
  <c r="D73" i="12"/>
  <c r="G73" i="12"/>
  <c r="I2" i="8"/>
  <c r="I3" i="8"/>
  <c r="E6" i="8"/>
  <c r="F6" i="8"/>
  <c r="E7" i="8"/>
  <c r="F7" i="8"/>
  <c r="E8" i="8"/>
  <c r="F8" i="8"/>
  <c r="E10" i="8"/>
  <c r="F10" i="8"/>
  <c r="E13" i="8"/>
  <c r="F13" i="8"/>
  <c r="E18" i="8"/>
  <c r="F18" i="8"/>
  <c r="E19" i="8"/>
  <c r="F19" i="8"/>
  <c r="E20" i="8"/>
  <c r="F20" i="8"/>
  <c r="E21" i="8"/>
  <c r="F21" i="8"/>
  <c r="E22" i="8"/>
  <c r="F22" i="8"/>
  <c r="E25" i="8"/>
  <c r="F25" i="8"/>
  <c r="E26" i="8"/>
  <c r="F26" i="8"/>
  <c r="E28" i="8"/>
  <c r="F28" i="8"/>
  <c r="E30" i="8"/>
  <c r="F30" i="8"/>
  <c r="E32" i="8"/>
  <c r="F32" i="8"/>
  <c r="E33" i="8"/>
  <c r="F33" i="8"/>
  <c r="E35" i="8"/>
  <c r="F35" i="8"/>
  <c r="E36" i="8"/>
  <c r="F36" i="8"/>
  <c r="E37" i="8"/>
  <c r="F37" i="8"/>
  <c r="E38" i="8"/>
  <c r="F38" i="8"/>
  <c r="E39" i="8"/>
  <c r="F39" i="8"/>
  <c r="E40" i="8"/>
  <c r="F40" i="8"/>
  <c r="E41" i="8"/>
  <c r="F41" i="8"/>
  <c r="E42" i="8"/>
  <c r="F42" i="8"/>
  <c r="E43" i="8"/>
  <c r="F43" i="8"/>
  <c r="E44" i="8"/>
  <c r="F44" i="8"/>
  <c r="E45" i="8"/>
  <c r="F45" i="8"/>
  <c r="E46" i="8"/>
  <c r="F46" i="8"/>
  <c r="E53" i="8"/>
  <c r="F53" i="8"/>
  <c r="E55" i="8"/>
  <c r="F55" i="8"/>
  <c r="I55" i="8" s="1"/>
  <c r="E58" i="8"/>
  <c r="F58" i="8"/>
  <c r="E59" i="8"/>
  <c r="F59" i="8"/>
  <c r="E60" i="8"/>
  <c r="E61" i="8"/>
  <c r="F61" i="8"/>
  <c r="E62" i="8"/>
  <c r="F62" i="8"/>
  <c r="E63" i="8"/>
  <c r="F63" i="8"/>
  <c r="E64" i="8"/>
  <c r="F64" i="8"/>
  <c r="C4" i="3"/>
  <c r="H4" i="3"/>
  <c r="C5" i="3"/>
  <c r="H5" i="3"/>
  <c r="J3" i="10" s="1"/>
  <c r="J96" i="10" s="1"/>
  <c r="C6" i="3"/>
  <c r="R20" i="3"/>
  <c r="B10" i="3"/>
  <c r="B11" i="3" s="1"/>
  <c r="B12" i="3" s="1"/>
  <c r="H11" i="3"/>
  <c r="I11" i="3"/>
  <c r="G12" i="3"/>
  <c r="G9" i="3" s="1"/>
  <c r="H20" i="3"/>
  <c r="F21" i="3"/>
  <c r="N21" i="3"/>
  <c r="H22" i="3"/>
  <c r="N22" i="3"/>
  <c r="H23" i="3"/>
  <c r="N23" i="3"/>
  <c r="H24" i="3"/>
  <c r="N24" i="3"/>
  <c r="N25" i="3"/>
  <c r="H26" i="3"/>
  <c r="N26" i="3"/>
  <c r="H27" i="3"/>
  <c r="N27" i="3"/>
  <c r="H28" i="3"/>
  <c r="H30" i="3"/>
  <c r="H33" i="3"/>
  <c r="H34" i="3"/>
  <c r="H43" i="3"/>
  <c r="R45" i="3"/>
  <c r="N47" i="3"/>
  <c r="N48" i="3"/>
  <c r="G143" i="3"/>
  <c r="G144" i="3"/>
  <c r="N49" i="3"/>
  <c r="N50" i="3"/>
  <c r="N51" i="3"/>
  <c r="H64" i="3"/>
  <c r="I31" i="4"/>
  <c r="I32" i="4"/>
  <c r="H68" i="3"/>
  <c r="H78" i="3"/>
  <c r="H83" i="3"/>
  <c r="H84" i="3"/>
  <c r="H85" i="3"/>
  <c r="H87" i="3"/>
  <c r="H88" i="3"/>
  <c r="H89" i="3"/>
  <c r="H92" i="3"/>
  <c r="H93" i="3"/>
  <c r="H107" i="3"/>
  <c r="H108" i="3"/>
  <c r="H109" i="3"/>
  <c r="H110" i="3"/>
  <c r="H111" i="3"/>
  <c r="H112" i="3"/>
  <c r="H114" i="3"/>
  <c r="H115" i="3"/>
  <c r="H116" i="3"/>
  <c r="H117" i="3"/>
  <c r="H119" i="3"/>
  <c r="H120" i="3"/>
  <c r="H123" i="3"/>
  <c r="H124" i="3"/>
  <c r="F82" i="3"/>
  <c r="H137" i="3"/>
  <c r="H138" i="3"/>
  <c r="H139" i="3"/>
  <c r="H140" i="3"/>
  <c r="H141" i="3"/>
  <c r="H146" i="3"/>
  <c r="H150" i="3"/>
  <c r="H151" i="3"/>
  <c r="H160" i="3"/>
  <c r="H161" i="3"/>
  <c r="H162" i="3"/>
  <c r="H163" i="3"/>
  <c r="H164" i="3"/>
  <c r="H165" i="3"/>
  <c r="H168" i="3"/>
  <c r="H171" i="3"/>
  <c r="H174" i="3"/>
  <c r="I3" i="4"/>
  <c r="B8" i="4"/>
  <c r="B9" i="4" s="1"/>
  <c r="B10" i="4" s="1"/>
  <c r="I8" i="4"/>
  <c r="I9" i="4"/>
  <c r="I10" i="4"/>
  <c r="I12" i="4"/>
  <c r="I13" i="4"/>
  <c r="I14" i="4"/>
  <c r="I20" i="4"/>
  <c r="I21" i="4"/>
  <c r="I22" i="4"/>
  <c r="I23" i="4"/>
  <c r="G4" i="5"/>
  <c r="C6" i="5"/>
  <c r="G6" i="5"/>
  <c r="B10" i="5"/>
  <c r="B11" i="5" s="1"/>
  <c r="B12" i="5" s="1"/>
  <c r="B13" i="5" s="1"/>
  <c r="B14" i="5" s="1"/>
  <c r="B15" i="5" s="1"/>
  <c r="B16" i="5" s="1"/>
  <c r="B17" i="5" s="1"/>
  <c r="B18" i="5" s="1"/>
  <c r="B19" i="5" s="1"/>
  <c r="B20" i="5" s="1"/>
  <c r="B21" i="5" s="1"/>
  <c r="B22" i="5" s="1"/>
  <c r="B23" i="5" s="1"/>
  <c r="B24" i="5" s="1"/>
  <c r="B25" i="5" s="1"/>
  <c r="B26" i="5" s="1"/>
  <c r="B27" i="5" s="1"/>
  <c r="B28" i="5" s="1"/>
  <c r="G11" i="5"/>
  <c r="G22" i="5"/>
  <c r="G23" i="5"/>
  <c r="E27" i="5"/>
  <c r="G27" i="5" s="1"/>
  <c r="E28" i="5"/>
  <c r="G28" i="5" s="1"/>
  <c r="F26" i="5"/>
  <c r="G38" i="5"/>
  <c r="G39" i="5"/>
  <c r="G45" i="5"/>
  <c r="G46" i="5"/>
  <c r="G47" i="5"/>
  <c r="B34" i="5"/>
  <c r="B35" i="5" s="1"/>
  <c r="B36" i="5" s="1"/>
  <c r="B37" i="5" s="1"/>
  <c r="B38" i="5" s="1"/>
  <c r="B39" i="5" s="1"/>
  <c r="B40" i="5" s="1"/>
  <c r="B41" i="5" s="1"/>
  <c r="B42" i="5" s="1"/>
  <c r="B43" i="5" s="1"/>
  <c r="B44" i="5" s="1"/>
  <c r="B45" i="5" s="1"/>
  <c r="B46" i="5" s="1"/>
  <c r="B47" i="5" s="1"/>
  <c r="B48" i="5" s="1"/>
  <c r="B49" i="5" s="1"/>
  <c r="B50" i="5" s="1"/>
  <c r="B51" i="5" s="1"/>
  <c r="B52" i="5" s="1"/>
  <c r="B53" i="5" s="1"/>
  <c r="B54" i="5" s="1"/>
  <c r="B63" i="5" s="1"/>
  <c r="G55" i="5"/>
  <c r="G59" i="5"/>
  <c r="G65" i="5"/>
  <c r="G66" i="5"/>
  <c r="G67" i="5"/>
  <c r="G68" i="5"/>
  <c r="G69" i="5"/>
  <c r="G82" i="5"/>
  <c r="F3" i="9"/>
  <c r="J2" i="10"/>
  <c r="J44" i="10" s="1"/>
  <c r="C4" i="10"/>
  <c r="J4" i="10"/>
  <c r="C5" i="10"/>
  <c r="J6" i="10"/>
  <c r="J18" i="10"/>
  <c r="J30" i="10"/>
  <c r="G79" i="5" s="1"/>
  <c r="G78" i="5" s="1"/>
  <c r="J36" i="10"/>
  <c r="J46" i="10"/>
  <c r="J52" i="10"/>
  <c r="J77" i="10"/>
  <c r="J86" i="10"/>
  <c r="J93" i="10"/>
  <c r="J97" i="10"/>
  <c r="J102" i="10"/>
  <c r="J108" i="10"/>
  <c r="J114" i="10"/>
  <c r="L115" i="10"/>
  <c r="L116" i="10" s="1"/>
  <c r="J116" i="10"/>
  <c r="J122" i="10"/>
  <c r="J136" i="10"/>
  <c r="J140" i="10"/>
  <c r="J150" i="10"/>
  <c r="L151" i="10"/>
  <c r="J154" i="10"/>
  <c r="J164" i="10"/>
  <c r="J165" i="10"/>
  <c r="J170" i="10"/>
  <c r="J176" i="10"/>
  <c r="E3" i="6"/>
  <c r="E6" i="6"/>
  <c r="B8" i="6"/>
  <c r="B9" i="6" s="1"/>
  <c r="B10" i="6" s="1"/>
  <c r="B11" i="6" s="1"/>
  <c r="E38" i="6"/>
  <c r="O3" i="7"/>
  <c r="B9" i="7"/>
  <c r="B10" i="7" s="1"/>
  <c r="B11" i="7" s="1"/>
  <c r="B12" i="7" s="1"/>
  <c r="B12" i="6" l="1"/>
  <c r="B13" i="6" s="1"/>
  <c r="B14"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47" i="6" s="1"/>
  <c r="B48" i="6" s="1"/>
  <c r="F72" i="3"/>
  <c r="C3" i="8"/>
  <c r="C78" i="3"/>
  <c r="C2" i="8"/>
  <c r="B64" i="5"/>
  <c r="B65" i="5" s="1"/>
  <c r="B66" i="5" s="1"/>
  <c r="B67" i="5" s="1"/>
  <c r="B68" i="5" s="1"/>
  <c r="B69" i="5" s="1"/>
  <c r="B71" i="5" s="1"/>
  <c r="B72" i="5" s="1"/>
  <c r="B73" i="5" s="1"/>
  <c r="B74" i="5" s="1"/>
  <c r="B75" i="5" s="1"/>
  <c r="B76" i="5" s="1"/>
  <c r="B77" i="5" s="1"/>
  <c r="B78" i="5" s="1"/>
  <c r="B79" i="5" s="1"/>
  <c r="B80" i="5" s="1"/>
  <c r="B81" i="5" s="1"/>
  <c r="J128" i="10"/>
  <c r="J135" i="10" s="1"/>
  <c r="J151" i="10" s="1"/>
  <c r="J153" i="10" s="1"/>
  <c r="J169" i="10" s="1"/>
  <c r="B11" i="4"/>
  <c r="B12" i="4" s="1"/>
  <c r="B13" i="4" s="1"/>
  <c r="B14" i="4" s="1"/>
  <c r="U23" i="30"/>
  <c r="U6" i="30" s="1"/>
  <c r="M55" i="30"/>
  <c r="K55" i="30" s="1"/>
  <c r="D55" i="30"/>
  <c r="M54" i="30"/>
  <c r="K54" i="30" s="1"/>
  <c r="D54" i="30"/>
  <c r="M41" i="30"/>
  <c r="K41" i="30" s="1"/>
  <c r="D41" i="30"/>
  <c r="G21" i="8" s="1"/>
  <c r="G30" i="5"/>
  <c r="M59" i="30"/>
  <c r="K59" i="30" s="1"/>
  <c r="D59" i="30"/>
  <c r="H82" i="3"/>
  <c r="B13" i="7"/>
  <c r="B14" i="7" s="1"/>
  <c r="B15" i="7" s="1"/>
  <c r="B16" i="7" s="1"/>
  <c r="B17" i="7" s="1"/>
  <c r="B18" i="7" s="1"/>
  <c r="B19" i="7" s="1"/>
  <c r="B22" i="7" s="1"/>
  <c r="B23" i="7" s="1"/>
  <c r="B24" i="7" s="1"/>
  <c r="B25" i="7" s="1"/>
  <c r="B26" i="7" s="1"/>
  <c r="B27" i="7" s="1"/>
  <c r="G5" i="5"/>
  <c r="G60" i="5" s="1"/>
  <c r="B13" i="3"/>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3" i="3" s="1"/>
  <c r="B44" i="3" s="1"/>
  <c r="B45" i="3" s="1"/>
  <c r="B46" i="3" s="1"/>
  <c r="C4" i="9"/>
  <c r="C79" i="3"/>
  <c r="C3" i="7"/>
  <c r="C3" i="6"/>
  <c r="C72" i="3"/>
  <c r="H79" i="3"/>
  <c r="I4" i="4"/>
  <c r="E4" i="6" s="1"/>
  <c r="O4" i="7" s="1"/>
  <c r="C60" i="5"/>
  <c r="C4" i="5"/>
  <c r="C3" i="4"/>
  <c r="C3" i="9" s="1"/>
  <c r="C59" i="5"/>
  <c r="R25" i="3"/>
  <c r="J95" i="10"/>
  <c r="R27" i="3"/>
  <c r="H12" i="3"/>
  <c r="J45" i="10"/>
  <c r="G26" i="5"/>
  <c r="J139" i="10"/>
  <c r="H21" i="8"/>
  <c r="R23" i="3"/>
  <c r="R21" i="3"/>
  <c r="R26" i="3"/>
  <c r="R24" i="3"/>
  <c r="R22" i="3"/>
  <c r="H53" i="3"/>
  <c r="M52" i="30"/>
  <c r="K52" i="30" s="1"/>
  <c r="B41" i="30"/>
  <c r="C41" i="30"/>
  <c r="C37" i="30"/>
  <c r="B37" i="30"/>
  <c r="G37" i="30" s="1"/>
  <c r="M49" i="30"/>
  <c r="K49" i="30" s="1"/>
  <c r="M45" i="30"/>
  <c r="K45" i="30" s="1"/>
  <c r="M56" i="30"/>
  <c r="K56" i="30" s="1"/>
  <c r="M53" i="30"/>
  <c r="K53" i="30" s="1"/>
  <c r="M38" i="30"/>
  <c r="K38" i="30" s="1"/>
  <c r="M60" i="30"/>
  <c r="K60" i="30" s="1"/>
  <c r="B60" i="30"/>
  <c r="C60" i="30"/>
  <c r="M50" i="30"/>
  <c r="K50" i="30" s="1"/>
  <c r="M46" i="30"/>
  <c r="K46" i="30" s="1"/>
  <c r="M42" i="30"/>
  <c r="K42" i="30" s="1"/>
  <c r="B42" i="30"/>
  <c r="C42" i="30"/>
  <c r="G22" i="8"/>
  <c r="M39" i="30"/>
  <c r="K39" i="30" s="1"/>
  <c r="B39" i="30"/>
  <c r="C39" i="30"/>
  <c r="M34" i="30"/>
  <c r="K34" i="30" s="1"/>
  <c r="B34" i="30"/>
  <c r="G34" i="30" s="1"/>
  <c r="C34" i="30"/>
  <c r="M57" i="30"/>
  <c r="K57" i="30" s="1"/>
  <c r="B54" i="30"/>
  <c r="C54" i="30"/>
  <c r="M35" i="30"/>
  <c r="K35" i="30" s="1"/>
  <c r="B35" i="30"/>
  <c r="G35" i="30" s="1"/>
  <c r="C35" i="30"/>
  <c r="M29" i="30"/>
  <c r="K29" i="30" s="1"/>
  <c r="M47" i="30"/>
  <c r="K47" i="30" s="1"/>
  <c r="M43" i="30"/>
  <c r="K43" i="30" s="1"/>
  <c r="G20" i="8"/>
  <c r="B40" i="30"/>
  <c r="C40" i="30"/>
  <c r="B36" i="30"/>
  <c r="G36" i="30" s="1"/>
  <c r="C36" i="30"/>
  <c r="M30" i="30"/>
  <c r="K30" i="30" s="1"/>
  <c r="H22" i="8"/>
  <c r="M58" i="30"/>
  <c r="K58" i="30" s="1"/>
  <c r="M32" i="30"/>
  <c r="K32" i="30" s="1"/>
  <c r="B55" i="30"/>
  <c r="C55" i="30"/>
  <c r="M48" i="30"/>
  <c r="K48" i="30" s="1"/>
  <c r="M44" i="30"/>
  <c r="K44" i="30" s="1"/>
  <c r="G33" i="30"/>
  <c r="H20" i="8"/>
  <c r="M51" i="30"/>
  <c r="K51" i="30" s="1"/>
  <c r="M40" i="30"/>
  <c r="K40" i="30" s="1"/>
  <c r="H10" i="3"/>
  <c r="I7" i="4"/>
  <c r="F25" i="5"/>
  <c r="F54" i="5" s="1"/>
  <c r="G19" i="3" s="1"/>
  <c r="G41" i="3" s="1"/>
  <c r="F40" i="3"/>
  <c r="H40" i="3" s="1"/>
  <c r="E26" i="5"/>
  <c r="G10" i="5"/>
  <c r="G9" i="5" s="1"/>
  <c r="G82" i="3"/>
  <c r="C4" i="4"/>
  <c r="C3" i="10"/>
  <c r="E33" i="5"/>
  <c r="J138" i="10"/>
  <c r="G33" i="5"/>
  <c r="H21" i="3"/>
  <c r="L152" i="10" l="1"/>
  <c r="B47" i="3"/>
  <c r="B48" i="3" s="1"/>
  <c r="B49" i="3" s="1"/>
  <c r="B50" i="3" s="1"/>
  <c r="B51" i="3" s="1"/>
  <c r="B52" i="3" s="1"/>
  <c r="B53" i="3" s="1"/>
  <c r="B54" i="3" s="1"/>
  <c r="B55" i="3" s="1"/>
  <c r="B56" i="3" s="1"/>
  <c r="B57" i="3" s="1"/>
  <c r="B58" i="3" s="1"/>
  <c r="B59" i="3" s="1"/>
  <c r="B60" i="3" s="1"/>
  <c r="H9" i="3"/>
  <c r="F4" i="9"/>
  <c r="B15" i="4"/>
  <c r="B16" i="4" s="1"/>
  <c r="B17" i="4" s="1"/>
  <c r="B18" i="4" s="1"/>
  <c r="C2" i="10"/>
  <c r="C174" i="10" s="1"/>
  <c r="R12" i="3"/>
  <c r="H61" i="3"/>
  <c r="C5" i="5"/>
  <c r="C4" i="6" s="1"/>
  <c r="C4" i="7"/>
  <c r="C139" i="10"/>
  <c r="G174" i="10"/>
  <c r="C45" i="10"/>
  <c r="C96" i="10"/>
  <c r="B19" i="4" l="1"/>
  <c r="B20" i="4" s="1"/>
  <c r="B21" i="4" s="1"/>
  <c r="B22" i="4" s="1"/>
  <c r="B23" i="4" s="1"/>
  <c r="C44" i="10"/>
  <c r="C138" i="10"/>
  <c r="C95" i="10"/>
  <c r="B61" i="3"/>
  <c r="B62" i="3" l="1"/>
  <c r="B63" i="3" s="1"/>
  <c r="B64" i="3" s="1"/>
  <c r="B65" i="3" s="1"/>
  <c r="B66" i="3" s="1"/>
  <c r="B67" i="3" s="1"/>
  <c r="B68" i="3" s="1"/>
  <c r="B69" i="3" s="1"/>
  <c r="B70" i="3" s="1"/>
  <c r="B71" i="3" s="1"/>
  <c r="B84" i="3" s="1"/>
  <c r="B85" i="3" s="1"/>
  <c r="B24" i="4"/>
  <c r="B25" i="4" s="1"/>
  <c r="B26" i="4" s="1"/>
  <c r="B27" i="4" s="1"/>
  <c r="B28" i="30"/>
  <c r="G28" i="30" s="1"/>
  <c r="G6" i="8" s="1"/>
  <c r="B46" i="30"/>
  <c r="G46" i="30" s="1"/>
  <c r="G39" i="8" s="1"/>
  <c r="G54" i="30"/>
  <c r="G41" i="8" s="1"/>
  <c r="G42" i="30"/>
  <c r="G60" i="30"/>
  <c r="G53" i="8" s="1"/>
  <c r="G40" i="30"/>
  <c r="G41" i="30"/>
  <c r="G55" i="30"/>
  <c r="G42" i="8" s="1"/>
  <c r="G39" i="30"/>
  <c r="G18" i="8" s="1"/>
  <c r="B86" i="3" l="1"/>
  <c r="B87" i="3" s="1"/>
  <c r="B52" i="30"/>
  <c r="G52" i="30" s="1"/>
  <c r="G36" i="8" s="1"/>
  <c r="B49" i="30"/>
  <c r="G49" i="30" s="1"/>
  <c r="G32" i="8" s="1"/>
  <c r="B56" i="30"/>
  <c r="G56" i="30" s="1"/>
  <c r="G46" i="8" s="1"/>
  <c r="B30" i="30"/>
  <c r="G30" i="30" s="1"/>
  <c r="G8" i="8" s="1"/>
  <c r="B58" i="30"/>
  <c r="G58" i="30" s="1"/>
  <c r="G44" i="8" s="1"/>
  <c r="B48" i="30"/>
  <c r="G48" i="30" s="1"/>
  <c r="G30" i="8" s="1"/>
  <c r="B45" i="30"/>
  <c r="G45" i="30" s="1"/>
  <c r="G28" i="8" s="1"/>
  <c r="B59" i="30"/>
  <c r="G59" i="30" s="1"/>
  <c r="G45" i="8" s="1"/>
  <c r="B47" i="30"/>
  <c r="G47" i="30" s="1"/>
  <c r="G26" i="8" s="1"/>
  <c r="B53" i="30"/>
  <c r="G53" i="30" s="1"/>
  <c r="G40" i="8" s="1"/>
  <c r="B43" i="30"/>
  <c r="G43" i="30" s="1"/>
  <c r="G37" i="8" s="1"/>
  <c r="B32" i="30"/>
  <c r="G32" i="30" s="1"/>
  <c r="B44" i="30"/>
  <c r="G44" i="30" s="1"/>
  <c r="G38" i="8" s="1"/>
  <c r="B29" i="30"/>
  <c r="G29" i="30" s="1"/>
  <c r="G7" i="8" s="1"/>
  <c r="B38" i="30"/>
  <c r="G38" i="30" s="1"/>
  <c r="G13" i="8" s="1"/>
  <c r="B50" i="30"/>
  <c r="G50" i="30" s="1"/>
  <c r="G33" i="8" s="1"/>
  <c r="B57" i="30"/>
  <c r="G57" i="30" s="1"/>
  <c r="G43" i="8" s="1"/>
  <c r="B51" i="30"/>
  <c r="G51" i="30" s="1"/>
  <c r="G35" i="8" s="1"/>
  <c r="B28" i="4"/>
  <c r="B29" i="4" s="1"/>
  <c r="B30" i="4" s="1"/>
  <c r="B31" i="4" s="1"/>
  <c r="B32" i="4" s="1"/>
  <c r="B33" i="4" s="1"/>
  <c r="B34" i="4" s="1"/>
  <c r="B35" i="4" s="1"/>
  <c r="B36" i="4" s="1"/>
  <c r="B37" i="4" s="1"/>
  <c r="B38" i="4" s="1"/>
  <c r="B88" i="3" l="1"/>
  <c r="B89" i="3" s="1"/>
  <c r="B90" i="3" s="1"/>
  <c r="G10" i="8"/>
  <c r="G9" i="8"/>
  <c r="B39" i="4"/>
  <c r="B91" i="3" l="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40" i="4"/>
  <c r="B41" i="4" s="1"/>
  <c r="B42" i="4" s="1"/>
  <c r="B43" i="4" s="1"/>
  <c r="B44" i="4" s="1"/>
  <c r="B45" i="4" s="1"/>
  <c r="B46" i="4" s="1"/>
  <c r="C46" i="30"/>
  <c r="H46" i="30" s="1"/>
  <c r="I46" i="30" s="1"/>
  <c r="I39" i="8" s="1"/>
  <c r="C50" i="30"/>
  <c r="H50" i="30" s="1"/>
  <c r="I50" i="30" s="1"/>
  <c r="I33" i="8" s="1"/>
  <c r="C57" i="30"/>
  <c r="H57" i="30" s="1"/>
  <c r="I57" i="30" s="1"/>
  <c r="I43" i="8" s="1"/>
  <c r="C51" i="30"/>
  <c r="H51" i="30" s="1"/>
  <c r="I51" i="30" s="1"/>
  <c r="I35" i="8" s="1"/>
  <c r="C47" i="30"/>
  <c r="H47" i="30" s="1"/>
  <c r="I47" i="30" s="1"/>
  <c r="I26" i="8" s="1"/>
  <c r="C52" i="30"/>
  <c r="H52" i="30" s="1"/>
  <c r="H36" i="8" s="1"/>
  <c r="C49" i="30"/>
  <c r="H49" i="30" s="1"/>
  <c r="H32" i="8" s="1"/>
  <c r="C56" i="30"/>
  <c r="H56" i="30" s="1"/>
  <c r="I56" i="30" s="1"/>
  <c r="I46" i="8" s="1"/>
  <c r="C58" i="30"/>
  <c r="H58" i="30" s="1"/>
  <c r="H44" i="8" s="1"/>
  <c r="C44" i="30"/>
  <c r="H44" i="30" s="1"/>
  <c r="I44" i="30" s="1"/>
  <c r="I38" i="8" s="1"/>
  <c r="C48" i="30"/>
  <c r="H48" i="30" s="1"/>
  <c r="H30" i="8" s="1"/>
  <c r="C45" i="30"/>
  <c r="H45" i="30" s="1"/>
  <c r="I45" i="30" s="1"/>
  <c r="I28" i="8" s="1"/>
  <c r="C53" i="30"/>
  <c r="H53" i="30" s="1"/>
  <c r="H40" i="8" s="1"/>
  <c r="C29" i="30"/>
  <c r="H29" i="30" s="1"/>
  <c r="I29" i="30" s="1"/>
  <c r="I7" i="8" s="1"/>
  <c r="C32" i="30"/>
  <c r="H32" i="30" s="1"/>
  <c r="C59" i="30"/>
  <c r="H59" i="30" s="1"/>
  <c r="H45" i="8" s="1"/>
  <c r="C43" i="30"/>
  <c r="H43" i="30" s="1"/>
  <c r="H37" i="8" s="1"/>
  <c r="C30" i="30"/>
  <c r="H30" i="30" s="1"/>
  <c r="I30" i="30" s="1"/>
  <c r="I8" i="8" s="1"/>
  <c r="C38" i="30"/>
  <c r="H38" i="30" s="1"/>
  <c r="I38" i="30" s="1"/>
  <c r="I13" i="8" s="1"/>
  <c r="H36" i="30"/>
  <c r="I36" i="30" s="1"/>
  <c r="H39" i="30"/>
  <c r="I39" i="30" s="1"/>
  <c r="H35" i="30"/>
  <c r="I35" i="30" s="1"/>
  <c r="H42" i="30"/>
  <c r="I42" i="30" s="1"/>
  <c r="H34" i="30"/>
  <c r="H54" i="30"/>
  <c r="I54" i="30" s="1"/>
  <c r="I41" i="8" s="1"/>
  <c r="H40" i="30"/>
  <c r="I40" i="30" s="1"/>
  <c r="H37" i="30"/>
  <c r="I37" i="30" s="1"/>
  <c r="H60" i="30"/>
  <c r="H53" i="8" s="1"/>
  <c r="H33" i="30"/>
  <c r="H55" i="30"/>
  <c r="I55" i="30" s="1"/>
  <c r="I42" i="8" s="1"/>
  <c r="H41" i="30"/>
  <c r="I41" i="30" s="1"/>
  <c r="B149" i="3" l="1"/>
  <c r="B150" i="3" s="1"/>
  <c r="B151" i="3" s="1"/>
  <c r="B152" i="3" s="1"/>
  <c r="B153" i="3" s="1"/>
  <c r="B154" i="3" s="1"/>
  <c r="B155" i="3" s="1"/>
  <c r="B156" i="3" s="1"/>
  <c r="B157" i="3" s="1"/>
  <c r="H10" i="8"/>
  <c r="H9" i="8"/>
  <c r="H43" i="8"/>
  <c r="H7" i="8"/>
  <c r="H35" i="8"/>
  <c r="I34" i="30"/>
  <c r="H38" i="8"/>
  <c r="I32" i="30"/>
  <c r="H33" i="8"/>
  <c r="I58" i="30"/>
  <c r="I44" i="8" s="1"/>
  <c r="H18" i="8"/>
  <c r="H28" i="8"/>
  <c r="I59" i="30"/>
  <c r="I45" i="8" s="1"/>
  <c r="I60" i="30"/>
  <c r="I53" i="8" s="1"/>
  <c r="I33" i="30"/>
  <c r="H8" i="8"/>
  <c r="H41" i="8"/>
  <c r="H26" i="8"/>
  <c r="I53" i="30"/>
  <c r="I40" i="8" s="1"/>
  <c r="I52" i="30"/>
  <c r="I36" i="8" s="1"/>
  <c r="I48" i="30"/>
  <c r="I30" i="8" s="1"/>
  <c r="H39" i="8"/>
  <c r="H46" i="8"/>
  <c r="H13" i="8"/>
  <c r="I49" i="30"/>
  <c r="I32" i="8" s="1"/>
  <c r="H42" i="8"/>
  <c r="I43" i="30"/>
  <c r="I37" i="8" s="1"/>
  <c r="B158" i="3" l="1"/>
  <c r="B159" i="3" s="1"/>
  <c r="B160" i="3" s="1"/>
  <c r="B161" i="3" s="1"/>
  <c r="B162" i="3" s="1"/>
  <c r="B163" i="3" s="1"/>
  <c r="B164" i="3" s="1"/>
  <c r="B165" i="3" s="1"/>
  <c r="B166" i="3" s="1"/>
  <c r="B167" i="3" s="1"/>
  <c r="B168" i="3" s="1"/>
  <c r="B169" i="3" s="1"/>
  <c r="B170" i="3" s="1"/>
  <c r="B171" i="3" s="1"/>
  <c r="B172" i="3" s="1"/>
  <c r="B173" i="3" s="1"/>
  <c r="I10" i="8"/>
  <c r="I9" i="8"/>
  <c r="C28" i="30"/>
  <c r="H28" i="30" s="1"/>
  <c r="H6" i="8" s="1"/>
  <c r="D5" i="12"/>
  <c r="D10" i="12" s="1"/>
  <c r="D18" i="12" s="1"/>
  <c r="D29" i="12"/>
  <c r="D32" i="12" s="1"/>
  <c r="D56" i="12" l="1"/>
  <c r="D62" i="12" s="1"/>
  <c r="D19" i="12"/>
  <c r="I28" i="30"/>
  <c r="E21" i="5"/>
  <c r="I62" i="30" l="1"/>
  <c r="H51" i="3" s="1"/>
  <c r="I6" i="8"/>
  <c r="J5" i="8" s="1"/>
  <c r="I51" i="3" s="1"/>
  <c r="E12" i="5"/>
  <c r="E25" i="5" s="1"/>
  <c r="E54" i="5" s="1"/>
  <c r="G21" i="5"/>
  <c r="G12" i="5" s="1"/>
  <c r="G25" i="5" s="1"/>
  <c r="G54" i="5" s="1"/>
  <c r="E63" i="5" l="1"/>
  <c r="G63" i="5" s="1"/>
  <c r="F19" i="3"/>
  <c r="H19" i="3" l="1"/>
  <c r="F41" i="3"/>
  <c r="F47" i="3" l="1"/>
  <c r="H41" i="3"/>
  <c r="H47" i="3" s="1"/>
  <c r="Q5" i="30"/>
  <c r="S16" i="30" l="1"/>
  <c r="S9" i="30"/>
  <c r="T9" i="30" s="1"/>
  <c r="S12" i="30"/>
  <c r="T12" i="30" s="1"/>
  <c r="S13" i="30"/>
  <c r="T13" i="30" s="1"/>
  <c r="S10" i="30"/>
  <c r="T10" i="30" s="1"/>
  <c r="S11" i="30"/>
  <c r="T11" i="30" s="1"/>
  <c r="S14" i="30"/>
  <c r="T14" i="30" s="1"/>
  <c r="S15" i="30"/>
  <c r="T15" i="30" s="1"/>
  <c r="I42" i="3"/>
  <c r="O28" i="3"/>
  <c r="H46" i="3"/>
  <c r="O12" i="3"/>
  <c r="I66" i="3"/>
  <c r="S23" i="30" l="1"/>
  <c r="Q6" i="30" s="1"/>
  <c r="R49" i="3"/>
  <c r="R51" i="3"/>
  <c r="R48" i="3"/>
  <c r="R47" i="3"/>
  <c r="R50" i="3"/>
  <c r="R46" i="3"/>
  <c r="R28" i="3" l="1"/>
  <c r="H49" i="3" s="1"/>
  <c r="I49" i="3" s="1"/>
  <c r="I47" i="3" l="1"/>
  <c r="I52" i="3"/>
  <c r="H48" i="3"/>
  <c r="I48" i="3"/>
  <c r="J48" i="3"/>
  <c r="H67" i="3" l="1"/>
  <c r="H66" i="3"/>
</calcChain>
</file>

<file path=xl/comments1.xml><?xml version="1.0" encoding="utf-8"?>
<comments xmlns="http://schemas.openxmlformats.org/spreadsheetml/2006/main">
  <authors>
    <author>Windows User</author>
  </authors>
  <commentList>
    <comment ref="I18" authorId="0">
      <text>
        <r>
          <rPr>
            <b/>
            <sz val="9"/>
            <color indexed="81"/>
            <rFont val="Tahoma"/>
            <family val="2"/>
          </rPr>
          <t>RENT COLLECTIVE EXP @ 4%</t>
        </r>
        <r>
          <rPr>
            <sz val="9"/>
            <color indexed="81"/>
            <rFont val="Tahoma"/>
            <family val="2"/>
          </rPr>
          <t xml:space="preserve">
</t>
        </r>
      </text>
    </comment>
    <comment ref="H51" authorId="0">
      <text>
        <r>
          <rPr>
            <b/>
            <sz val="9"/>
            <color indexed="81"/>
            <rFont val="Tahoma"/>
            <family val="2"/>
          </rPr>
          <t xml:space="preserve">TOTAL OF ANNEX -E
</t>
        </r>
        <r>
          <rPr>
            <sz val="9"/>
            <color indexed="81"/>
            <rFont val="Tahoma"/>
            <family val="2"/>
          </rPr>
          <t xml:space="preserve">
</t>
        </r>
      </text>
    </comment>
    <comment ref="I51" authorId="0">
      <text>
        <r>
          <rPr>
            <b/>
            <sz val="9"/>
            <color indexed="81"/>
            <rFont val="Tahoma"/>
            <family val="2"/>
          </rPr>
          <t xml:space="preserve">MINIMUM TAX CALCULATION </t>
        </r>
        <r>
          <rPr>
            <sz val="9"/>
            <color indexed="81"/>
            <rFont val="Tahoma"/>
            <family val="2"/>
          </rPr>
          <t xml:space="preserve">
</t>
        </r>
      </text>
    </comment>
    <comment ref="C113" authorId="0">
      <text>
        <r>
          <rPr>
            <b/>
            <sz val="9"/>
            <color indexed="81"/>
            <rFont val="Tahoma"/>
            <family val="2"/>
          </rPr>
          <t xml:space="preserve">Cell Not Available in the Form Provided by the FBR for the Tax Year 2024 vide S.R.O. 950(l)12024 dated: 4th July, 2024 </t>
        </r>
      </text>
    </comment>
    <comment ref="C118" authorId="0">
      <text>
        <r>
          <rPr>
            <b/>
            <sz val="9"/>
            <color indexed="81"/>
            <rFont val="Tahoma"/>
            <family val="2"/>
          </rPr>
          <t xml:space="preserve">Cell Not Available in the Form Provided by the FBR for the Tax Year 2024 vide S.R.O. 950(l)12024 dated: 4th July, 2024 </t>
        </r>
      </text>
    </comment>
    <comment ref="C123" authorId="0">
      <text>
        <r>
          <rPr>
            <b/>
            <sz val="9"/>
            <color indexed="81"/>
            <rFont val="Tahoma"/>
            <family val="2"/>
          </rPr>
          <t>FINAL TAX REGIME</t>
        </r>
        <r>
          <rPr>
            <sz val="9"/>
            <color indexed="81"/>
            <rFont val="Tahoma"/>
            <family val="2"/>
          </rPr>
          <t xml:space="preserve">
</t>
        </r>
      </text>
    </comment>
    <comment ref="C158" authorId="0">
      <text>
        <r>
          <rPr>
            <b/>
            <sz val="9"/>
            <color indexed="81"/>
            <rFont val="Tahoma"/>
            <family val="2"/>
          </rPr>
          <t xml:space="preserve">Cell Not Available in the Form Provided by the FBR for the Tax Year 2024 vide S.R.O. 950(l)12024 dated: 4th July, 2024 </t>
        </r>
      </text>
    </comment>
    <comment ref="C159" authorId="0">
      <text>
        <r>
          <rPr>
            <b/>
            <sz val="9"/>
            <color indexed="81"/>
            <rFont val="Tahoma"/>
            <family val="2"/>
          </rPr>
          <t xml:space="preserve">Cell Not Available in the Form Provided by the FBR for the Tax Year 2024 vide S.R.O. 950(l)12024 dated: 4th July, 2024 </t>
        </r>
      </text>
    </comment>
  </commentList>
</comments>
</file>

<file path=xl/comments2.xml><?xml version="1.0" encoding="utf-8"?>
<comments xmlns="http://schemas.openxmlformats.org/spreadsheetml/2006/main">
  <authors>
    <author>Windows User</author>
  </authors>
  <commentList>
    <comment ref="H54" authorId="0">
      <text>
        <r>
          <rPr>
            <b/>
            <sz val="9"/>
            <color indexed="81"/>
            <rFont val="Tahoma"/>
            <family val="2"/>
          </rPr>
          <t>TAX CHARGABLE / TOTAL RECEIPTS * 
TAXED SUPPLIES</t>
        </r>
        <r>
          <rPr>
            <sz val="9"/>
            <color indexed="81"/>
            <rFont val="Tahoma"/>
            <family val="2"/>
          </rPr>
          <t xml:space="preserve">
</t>
        </r>
      </text>
    </comment>
    <comment ref="H55" authorId="0">
      <text>
        <r>
          <rPr>
            <b/>
            <sz val="9"/>
            <color indexed="81"/>
            <rFont val="Tahoma"/>
            <family val="2"/>
          </rPr>
          <t>TAX CHARGABLE / TOTAL RECEIPTS * 
TAXED SUPPLIES</t>
        </r>
        <r>
          <rPr>
            <sz val="9"/>
            <color indexed="81"/>
            <rFont val="Tahoma"/>
            <family val="2"/>
          </rPr>
          <t xml:space="preserve">
</t>
        </r>
      </text>
    </comment>
  </commentList>
</comments>
</file>

<file path=xl/comments3.xml><?xml version="1.0" encoding="utf-8"?>
<comments xmlns="http://schemas.openxmlformats.org/spreadsheetml/2006/main">
  <authors>
    <author>Windows User</author>
  </authors>
  <commentList>
    <comment ref="AP5" authorId="0">
      <text>
        <r>
          <rPr>
            <b/>
            <sz val="9"/>
            <color indexed="81"/>
            <rFont val="Tahoma"/>
            <family val="2"/>
          </rPr>
          <t xml:space="preserve">IF THE </t>
        </r>
        <r>
          <rPr>
            <b/>
            <u/>
            <sz val="9"/>
            <color indexed="81"/>
            <rFont val="Tahoma"/>
            <family val="2"/>
          </rPr>
          <t>TVL FEE</t>
        </r>
        <r>
          <rPr>
            <b/>
            <sz val="9"/>
            <color indexed="81"/>
            <rFont val="Tahoma"/>
            <family val="2"/>
          </rPr>
          <t xml:space="preserve"> IS NOT CHARGED IN YOUR ELECTRIC BILL THEN DE LINK THE CELL FROM THE FORMUALA OR DELETE RS.60 FROM THIS CELL
</t>
        </r>
      </text>
    </comment>
  </commentList>
</comments>
</file>

<file path=xl/comments4.xml><?xml version="1.0" encoding="utf-8"?>
<comments xmlns="http://schemas.openxmlformats.org/spreadsheetml/2006/main">
  <authors>
    <author>Windows User</author>
  </authors>
  <commentList>
    <comment ref="AP5" authorId="0">
      <text>
        <r>
          <rPr>
            <b/>
            <sz val="9"/>
            <color indexed="81"/>
            <rFont val="Tahoma"/>
            <family val="2"/>
          </rPr>
          <t xml:space="preserve">IF THE </t>
        </r>
        <r>
          <rPr>
            <b/>
            <u/>
            <sz val="9"/>
            <color indexed="81"/>
            <rFont val="Tahoma"/>
            <family val="2"/>
          </rPr>
          <t>TVL FEE</t>
        </r>
        <r>
          <rPr>
            <b/>
            <sz val="9"/>
            <color indexed="81"/>
            <rFont val="Tahoma"/>
            <family val="2"/>
          </rPr>
          <t xml:space="preserve"> IS NOT CHARGED IN YOUR ELECTRIC BILL THEN DE LINK THE CELL FROM THE FORMULA OR DELETE RS.120 FROM THIS CELL
</t>
        </r>
        <r>
          <rPr>
            <sz val="9"/>
            <color indexed="81"/>
            <rFont val="Tahoma"/>
            <family val="2"/>
          </rPr>
          <t xml:space="preserve">
</t>
        </r>
      </text>
    </comment>
  </commentList>
</comments>
</file>

<file path=xl/sharedStrings.xml><?xml version="1.0" encoding="utf-8"?>
<sst xmlns="http://schemas.openxmlformats.org/spreadsheetml/2006/main" count="1280" uniqueCount="753">
  <si>
    <t>Instructions for Filling in Return Form &amp; Wealth Statement</t>
  </si>
  <si>
    <t>Form</t>
  </si>
  <si>
    <t xml:space="preserve">Sr. </t>
  </si>
  <si>
    <t>Instruction</t>
  </si>
  <si>
    <t>General</t>
  </si>
  <si>
    <t>The following errors / omissions shall render a Return invalid &amp; make the taxpayer a non-filer &amp; liable to penalty under section 182(1):</t>
  </si>
  <si>
    <t>Individuals deriving income under the head Property, Capital Gains &amp; Other Sources (excluding Salary / Business) &amp; Income subject to fixed / final tax have to file one page Return in IT-1B Form with Annex-A, Annex-F &amp; Wealth Statement if required to be filed.</t>
  </si>
  <si>
    <t>Individuals deriving income under the head business or falling under Final Tax Regime (FTR) such as Commercial Importers, Exporters, Contractors, etc. have to file two page Return in IT-2 Form with Annex-A, Annex-B, Annex-F &amp; Wealth Statement if required to be filed. Annex-C, Annex-D &amp; Annex-E are required only where Depreciation / Amortization, Admissible / Inadmissible Deductions &amp; Minimum Tax Chargeable / Option out of Presumptive Tax Regime are involved.</t>
  </si>
  <si>
    <t>Taxpayers may file Return of Total Income / Statement of Final Taxation &amp; Wealth Statement through the following modes:</t>
  </si>
  <si>
    <t>Manually on paper at Taxpayer Facilitation Counter of the respective Regional Tax Office. Paper Return Form can be downloaded from FBR Website http://www.fbr.gov.pk.</t>
  </si>
  <si>
    <t>Taxpayers may seek guidance through the following modes:</t>
  </si>
  <si>
    <t>By calling Helpline 0800 00 227, 051 111-227-227</t>
  </si>
  <si>
    <t>By visiting the nearest Taxpayer Facilitation Centre (TFC), list of which can be downloaded from FBR website at http://www.fbr.gov.pk</t>
  </si>
  <si>
    <t>Tax can be paid in any authorized branch of NBP &amp; SBP at any time before filing of return. List of authorized braches of NBP &amp; SBP can be downloaded from http://www.fbr.gov.pk.</t>
  </si>
  <si>
    <t>IT-1B</t>
  </si>
  <si>
    <t>Only Foreign Income (Not Loss) should be declared.</t>
  </si>
  <si>
    <t>IT-2</t>
  </si>
  <si>
    <t>Only Agriculture Income (Not Loss) should be declared.</t>
  </si>
  <si>
    <t>Tax Credits include Tax Credits for the following:</t>
  </si>
  <si>
    <t>Share in Taxed Income from AOP;</t>
  </si>
  <si>
    <t>Charitable Donations u/s 61;</t>
  </si>
  <si>
    <t xml:space="preserve"> Investment in Shares of Public Companies listed on a Stock Exchange in Pakistan (only for Original Allottee other than a Company) u/s 62;</t>
  </si>
  <si>
    <t xml:space="preserve"> Life Insurance Premim (only for Resident Individual deriving income from Salary / Business) u/s 62;</t>
  </si>
  <si>
    <t>Contribution to Approved Pension Fund (only for Pakistani Individual registered with FBR / NADRA deriving income from Salary / Business) u/s 63;</t>
  </si>
  <si>
    <t>Profit or Share in Rent or Share in Appreciation of Value of Property paid on loan invested in property u/s 64.</t>
  </si>
  <si>
    <t>Annex-E</t>
  </si>
  <si>
    <t>Taxpayers wanting to opt out of Presumptive Tax Regime (PTR) u/c (56B), (56C), (56D), (56E), (56F), (56G), Part IV, Second Schedule, must file Annex-E.</t>
  </si>
  <si>
    <t>Annex-F</t>
  </si>
  <si>
    <t>Only Personal / Household (Non-Business) expenses should be declared.</t>
  </si>
  <si>
    <t>Expenses borne by more than one person must be declared in total by each person. For example, if in one family more than one member is contibuting to expenses or if more than one family is living jointly &amp; within each family more than one member is contributing to expenses, total expenses under each head must be declared by each member of each family filing his wealth statement &amp; then contribution by other family members be deducted to arrive at own contribution.</t>
  </si>
  <si>
    <t>Wealth Statement</t>
  </si>
  <si>
    <t>If rows provided in any segment are inadequate, additional rows may be inserted.</t>
  </si>
  <si>
    <t>All assets must be delared at cost, including ancillary expenses.</t>
  </si>
  <si>
    <t>If an asset is acquired under a Hire Purchase Agreement, total price should be declared as asset under the appropriate head &amp; balance payable amount should be declared as liability.</t>
  </si>
  <si>
    <t>If Wealth Statement is filed for the first time, separate Reconciliation Statement must be filed for each previous year.</t>
  </si>
  <si>
    <t>Equipment, Plant, Machinery (Non-Business) must be declared with description, for example, Generator, Tubewell, Harvestor, Tractor, Trolley, etc.</t>
  </si>
  <si>
    <t>Assets created in the name of spouse(s), children &amp; other dependents should be declared only if acquired by them with funds provided by you (Benami Assets).</t>
  </si>
  <si>
    <t>Name*</t>
  </si>
  <si>
    <t>Tax Year</t>
  </si>
  <si>
    <t>CNIC*</t>
  </si>
  <si>
    <t>NTN</t>
  </si>
  <si>
    <t>Address*</t>
  </si>
  <si>
    <t>Sr.</t>
  </si>
  <si>
    <t>Description</t>
  </si>
  <si>
    <t>Code</t>
  </si>
  <si>
    <t>Total
Amount</t>
  </si>
  <si>
    <t>Amount
Subject to Normal Tax</t>
  </si>
  <si>
    <t>A</t>
  </si>
  <si>
    <t>B</t>
  </si>
  <si>
    <t>C</t>
  </si>
  <si>
    <t>Property</t>
  </si>
  <si>
    <t>Rent Received or Receivable</t>
  </si>
  <si>
    <t>1/10th of amount not adjustable against Rent</t>
  </si>
  <si>
    <t>Forfeited Deposit under a Contract for Sale of Property</t>
  </si>
  <si>
    <t>Foreign Income</t>
  </si>
  <si>
    <t>Share in Taxed Income from AOP</t>
  </si>
  <si>
    <t>Total Income*</t>
  </si>
  <si>
    <t>Deductible Allowances</t>
  </si>
  <si>
    <t>Total</t>
  </si>
  <si>
    <t>Inadmissible</t>
  </si>
  <si>
    <t>Admissible</t>
  </si>
  <si>
    <t>Zakat u/s 60</t>
  </si>
  <si>
    <t>Computations</t>
  </si>
  <si>
    <t>Receipts / Value</t>
  </si>
  <si>
    <t>Tax Collected/ Deducted/Paid</t>
  </si>
  <si>
    <t>Tax Chargeable</t>
  </si>
  <si>
    <t>Final / Fixed / Average / Relevant / Reduced Rate Regime</t>
  </si>
  <si>
    <t>Agriculture Income</t>
  </si>
  <si>
    <t>Verification</t>
  </si>
  <si>
    <t xml:space="preserve">I, </t>
  </si>
  <si>
    <t>Signature:</t>
  </si>
  <si>
    <t>Date:</t>
  </si>
  <si>
    <t xml:space="preserve"> RETURN OF TOTAL INCOME / STATEMENT OF FINAL TAXATION UNDER THE INCOME TAX ORDINANCE, 2001 (IT-2)</t>
  </si>
  <si>
    <t>1/2</t>
  </si>
  <si>
    <t>FOR INDIVIDUAL DERIVING INCOME UNDER THE HEAD BUSINESS &amp; ANY OTHER HEAD EXCEPT SALARY</t>
  </si>
  <si>
    <t>NTN*</t>
  </si>
  <si>
    <t>Amount Exempt from Tax / Subject to Fixed / Final Tax</t>
  </si>
  <si>
    <t>Workers Welfare Fund u/s 60A</t>
  </si>
  <si>
    <t>I,</t>
  </si>
  <si>
    <t>, CNIC No.</t>
  </si>
  <si>
    <t>, in my capacity</t>
  </si>
  <si>
    <t>2/2</t>
  </si>
  <si>
    <t>FOR INDIVIDUAL/AOP DERIVING INCOME UNDER THE HEAD BUSINESS &amp; ANY OTHER HEAD</t>
  </si>
  <si>
    <t>Receipts / Value / Number</t>
  </si>
  <si>
    <t>Import u/s 148 @1%</t>
  </si>
  <si>
    <t>Import u/s 148 @2%</t>
  </si>
  <si>
    <t>Import u/s 148 @3%</t>
  </si>
  <si>
    <t>Import u/s 148 @4.5%</t>
  </si>
  <si>
    <t>Import u/s 148 @6%</t>
  </si>
  <si>
    <t>Payment for Goods u/s 153(1)(a) @1%</t>
  </si>
  <si>
    <t>Payment for Goods u/s 153(1)(a) @1.5%</t>
  </si>
  <si>
    <t>Payment for Goods u/s 153(1)(a) @4.5%</t>
  </si>
  <si>
    <t>Fee for Export related Services u/s 153(2) @1%</t>
  </si>
  <si>
    <t>Foreign Indenting Commission u/s 154(2) @5%</t>
  </si>
  <si>
    <t>Annex-A</t>
  </si>
  <si>
    <t>Tax Collected / Deducted / Paid</t>
  </si>
  <si>
    <t>Profit on Debt to a Non-Resident u/s 152(2)</t>
  </si>
  <si>
    <t>Payment for Goods, Services, Contracts, Rent, etc. to a Non-Resident u/s 152(2)</t>
  </si>
  <si>
    <t>Payment for Goods to a PE of a Non-Resident u/s 152(2A)(a) / Division II, Part III, 1st Schedule</t>
  </si>
  <si>
    <t>Payment for Contracts to a PE of a Non-Resident u/s 152(2A)(c) / Division II, Part III, 1st Schedule</t>
  </si>
  <si>
    <t>Purchase by Auction u/s 236A</t>
  </si>
  <si>
    <t>Sale / Transfer of Immovable Property u/s 236C</t>
  </si>
  <si>
    <t>Purchase / Transfer of Immovable Property u/s 236K</t>
  </si>
  <si>
    <t>Purchase by Retailers u/s 236H</t>
  </si>
  <si>
    <t>Annex-B</t>
  </si>
  <si>
    <t>Manufacturing / Trading / Profit &amp; Loss Account ( including Revenues subject to Final / Fixed Tax)</t>
  </si>
  <si>
    <t>(Separate form should be filled for each business)</t>
  </si>
  <si>
    <t>Business Name*</t>
  </si>
  <si>
    <t>Amount
Subject to Final Tax</t>
  </si>
  <si>
    <t>Revenue</t>
  </si>
  <si>
    <t>Selling Expenses (Freight Outward, Brokerage, Commission, Discount, etc.)</t>
  </si>
  <si>
    <t>Cost of Sales / Services</t>
  </si>
  <si>
    <t>Cost of Sales / Services [(sum of 5 to 15)-16]</t>
  </si>
  <si>
    <t>Opening Stock</t>
  </si>
  <si>
    <t>Net Purchases (excluding Sales Tax, Federal Excise)</t>
  </si>
  <si>
    <t>Salaries / Wages</t>
  </si>
  <si>
    <t>Fuel</t>
  </si>
  <si>
    <t>Power</t>
  </si>
  <si>
    <t>Gas</t>
  </si>
  <si>
    <t>Stores / Spares</t>
  </si>
  <si>
    <t>Repair / Maintenance</t>
  </si>
  <si>
    <t>Other Direct Expenses</t>
  </si>
  <si>
    <t>Accounting Amortization</t>
  </si>
  <si>
    <t>Accounting Depreciation</t>
  </si>
  <si>
    <t>Closing Stock</t>
  </si>
  <si>
    <t>Gross Profit / (Loss) [1-4]</t>
  </si>
  <si>
    <t>Indirect Expenses</t>
  </si>
  <si>
    <t>Rent</t>
  </si>
  <si>
    <t>Rates / Taxes / Cess</t>
  </si>
  <si>
    <t>Salaries / Wages / Perquisites / Benefits</t>
  </si>
  <si>
    <t>Traveling / Conveyance / Vehicles Running / Maintenance</t>
  </si>
  <si>
    <t>Electricity / Water / Gas</t>
  </si>
  <si>
    <t>Communication</t>
  </si>
  <si>
    <t>Stationery / Printing / Photocopies / Office Supplies</t>
  </si>
  <si>
    <t>Advertisement / Publicity / Promotion</t>
  </si>
  <si>
    <t>Insurance</t>
  </si>
  <si>
    <t>Professional Charges</t>
  </si>
  <si>
    <t>Profit on Debt (Financial Charges / Markup / Interest)</t>
  </si>
  <si>
    <t>Brokerage / Commission</t>
  </si>
  <si>
    <t>Irrecoverable Debts written off</t>
  </si>
  <si>
    <t>Obsolete Stocks / Stores / Spares / Fixed Assets written off</t>
  </si>
  <si>
    <t>Other Indirect Expenses</t>
  </si>
  <si>
    <t>Amount
Subject to Final Taxation</t>
  </si>
  <si>
    <t>Amount
Subject to Normal Taxation</t>
  </si>
  <si>
    <t>3270</t>
  </si>
  <si>
    <t>Unabsorbed Tax Amortization for Previous Years</t>
  </si>
  <si>
    <t>Assets</t>
  </si>
  <si>
    <t>Advances / Deposits / Prepayments/ Trade Debtors / Receivables</t>
  </si>
  <si>
    <t>Stocks / Stores / Spares</t>
  </si>
  <si>
    <t>Cash / Cash Equivalents</t>
  </si>
  <si>
    <t>Liabilities</t>
  </si>
  <si>
    <t>Capital</t>
  </si>
  <si>
    <t>Borrowings / Debt / Loan</t>
  </si>
  <si>
    <t>Advances / Deposits / Accrued Expenses/ Trade Creditors / Payables</t>
  </si>
  <si>
    <t>Annex-C</t>
  </si>
  <si>
    <t>Inadmissible / Admissible Deductions</t>
  </si>
  <si>
    <t>Amount</t>
  </si>
  <si>
    <t>Inadmissible Deductions</t>
  </si>
  <si>
    <t>Add Backs u/s 29(2) Provision for Doubtful Debts</t>
  </si>
  <si>
    <t>Add Backs Provision for Obsolete Stocks / Stores / Spares / Fixed Assets</t>
  </si>
  <si>
    <t>Add Backs u/s 21(a) Cess / Rate / Tax levied on Profits / Gains</t>
  </si>
  <si>
    <t>Add Backs u/s 21(c) Payments liable to deduction of tax at source but tax not deducted / paid</t>
  </si>
  <si>
    <t>Add Backs u/s 21(d) Entertainment Expenditure above prescribed limit</t>
  </si>
  <si>
    <t>Add Backs u/s 21(g) Fine / penalty for violation of any law / rule / regulation</t>
  </si>
  <si>
    <t>Add Backs u/s 21(h) Personal Expenditure</t>
  </si>
  <si>
    <t>Add Backs u/s 21(l) Expenditure under a single account head exceeding prescribed amount not paid through prescribed mode</t>
  </si>
  <si>
    <t>Add Backs u/s 21(m) Salary exceeding prescribed amount not paid through prescribed mode</t>
  </si>
  <si>
    <t>Add Backs u/s 21(n) Capital Expenditure</t>
  </si>
  <si>
    <t>Add Backs u/s 67(1) Expenditure attributable to Non-Business Income</t>
  </si>
  <si>
    <t>Add Backs u/s 28(1)(b) Lease Rental not admissible</t>
  </si>
  <si>
    <t>Add Backs Tax Gain on Sale of Intangibles</t>
  </si>
  <si>
    <t>Add Backs Tax Gain on Sale of Assets</t>
  </si>
  <si>
    <t>Add Backs Pre-Commencement Expenditure / Deferred Cost</t>
  </si>
  <si>
    <t>Add Backs Accounting (Loss) on Sale of Intangibles</t>
  </si>
  <si>
    <t>Add Backs Accounting (Loss) on Sale of Assets</t>
  </si>
  <si>
    <t>Add Backs Accounting Amortization</t>
  </si>
  <si>
    <t>Other Inadmissible Deductions</t>
  </si>
  <si>
    <t>Admissible Deductions</t>
  </si>
  <si>
    <t>Accounting Gain on Sale of Intangibles</t>
  </si>
  <si>
    <t>Accounting Gain on Sale of Assets</t>
  </si>
  <si>
    <t>Tax (Loss) on Sale of Intangibles</t>
  </si>
  <si>
    <t>Tax (Loss) on Sale of Assets</t>
  </si>
  <si>
    <t>Other Admissible Deductions</t>
  </si>
  <si>
    <t>Annex-D</t>
  </si>
  <si>
    <t>Depreciation, Initial Allowance, Amortization</t>
  </si>
  <si>
    <t>WDV (BF)</t>
  </si>
  <si>
    <t>Deletion</t>
  </si>
  <si>
    <t>Addition (Used Previously in Pakistan)</t>
  </si>
  <si>
    <t>Extent of Use</t>
  </si>
  <si>
    <t>Addition (New)</t>
  </si>
  <si>
    <t>Rate</t>
  </si>
  <si>
    <t>Initial Allowance</t>
  </si>
  <si>
    <t>Depreciation</t>
  </si>
  <si>
    <t>WDV (CF)</t>
  </si>
  <si>
    <t>D</t>
  </si>
  <si>
    <t>E</t>
  </si>
  <si>
    <t>F</t>
  </si>
  <si>
    <t>G</t>
  </si>
  <si>
    <t>H</t>
  </si>
  <si>
    <t>I</t>
  </si>
  <si>
    <t>Building (all types)</t>
  </si>
  <si>
    <t>Ramp for Disabled Persons</t>
  </si>
  <si>
    <t>Plant / Machinery (not otherwise specified)</t>
  </si>
  <si>
    <t>Computer Hardware / Allied Items / Equipment used in manufacture of IT products</t>
  </si>
  <si>
    <t>Furniture (including fittings)</t>
  </si>
  <si>
    <t>Technical / Professional Books</t>
  </si>
  <si>
    <t>Offshore Installations of mineral oil concerns</t>
  </si>
  <si>
    <t>Machinery / Equipment eligible for 1st year Allowance</t>
  </si>
  <si>
    <t>Motor Vehicle (not plying for hire)</t>
  </si>
  <si>
    <t>Motor Vehicle (plying for hire)</t>
  </si>
  <si>
    <t>Ships</t>
  </si>
  <si>
    <t>Aircrafts / Aero Engines</t>
  </si>
  <si>
    <t>100%</t>
  </si>
  <si>
    <t>Amortization</t>
  </si>
  <si>
    <t>Intangible</t>
  </si>
  <si>
    <t>Expenditure providing Long Term Advantage / Benefit</t>
  </si>
  <si>
    <t>Tax Collectible / Deductible</t>
  </si>
  <si>
    <t>Attributable Taxable Income</t>
  </si>
  <si>
    <t>Tax on Attributable Taxable Income</t>
  </si>
  <si>
    <t>Minimum Tax Chargeable</t>
  </si>
  <si>
    <t>Import of Packing Material u/s 148 @5.5%</t>
  </si>
  <si>
    <t>Final Tax Chargeable</t>
  </si>
  <si>
    <t>Difference (Option Valid if &lt;=0)</t>
  </si>
  <si>
    <t>Personal Expenses</t>
  </si>
  <si>
    <t>Rates / Taxes / Charge / Cess</t>
  </si>
  <si>
    <t>Vehicle Running / Maintenence</t>
  </si>
  <si>
    <t>Travelling</t>
  </si>
  <si>
    <t>Electricity</t>
  </si>
  <si>
    <t>Water</t>
  </si>
  <si>
    <t>Telephone</t>
  </si>
  <si>
    <t>Medical</t>
  </si>
  <si>
    <t>Educational</t>
  </si>
  <si>
    <t>Club</t>
  </si>
  <si>
    <t>Other Personal / Household Expenses</t>
  </si>
  <si>
    <t>Contribution in Expenses by Family Members [Sum of 18 to 21]</t>
  </si>
  <si>
    <t>CNIC No.</t>
  </si>
  <si>
    <t>WEALTH STATEMENT UNDER SECTION 116 OF THE INCOME TAX ORDINANCE, 2001</t>
  </si>
  <si>
    <t>1/4</t>
  </si>
  <si>
    <t>Residence Address*</t>
  </si>
  <si>
    <t>Business Address*</t>
  </si>
  <si>
    <t>Agricultural Property</t>
  </si>
  <si>
    <t>Agricultural Property [Sum of 1 i to 1 x]</t>
  </si>
  <si>
    <r>
      <t xml:space="preserve">Form
</t>
    </r>
    <r>
      <rPr>
        <i/>
        <sz val="10"/>
        <rFont val="Arial"/>
        <family val="2"/>
        <charset val="1"/>
      </rPr>
      <t>(Irrigated / Unirrigated / Uncultivable)</t>
    </r>
  </si>
  <si>
    <t>Mauza / Village / Chak No.</t>
  </si>
  <si>
    <t>Tehsil</t>
  </si>
  <si>
    <t>District</t>
  </si>
  <si>
    <t>Area
(Acre)</t>
  </si>
  <si>
    <t>Share %</t>
  </si>
  <si>
    <t>Value at Cost</t>
  </si>
  <si>
    <t>i</t>
  </si>
  <si>
    <t>ii</t>
  </si>
  <si>
    <t>iii</t>
  </si>
  <si>
    <t>iv</t>
  </si>
  <si>
    <t>v</t>
  </si>
  <si>
    <t>vi</t>
  </si>
  <si>
    <t>vii</t>
  </si>
  <si>
    <t>viii</t>
  </si>
  <si>
    <t>ix</t>
  </si>
  <si>
    <t>x</t>
  </si>
  <si>
    <t>Residential, Commercial, Industrial Property</t>
  </si>
  <si>
    <r>
      <t xml:space="preserve">Form
</t>
    </r>
    <r>
      <rPr>
        <b/>
        <i/>
        <sz val="8"/>
        <rFont val="Arial"/>
        <family val="2"/>
        <charset val="1"/>
      </rPr>
      <t>(House, Flat, Shop, Plaza, Factory, Workshop, etc.)</t>
    </r>
  </si>
  <si>
    <t>Unit No. / Complex / Street / Block / Sector</t>
  </si>
  <si>
    <t>Area / Locality / Road</t>
  </si>
  <si>
    <t>City</t>
  </si>
  <si>
    <t>Area
(Marla / sq. yd.)</t>
  </si>
  <si>
    <t>Business Capital</t>
  </si>
  <si>
    <t>Enter name, share percentage &amp; capital amount in each AOP</t>
  </si>
  <si>
    <t>Enter consolidated capital amount of all Sole Proprietorships</t>
  </si>
  <si>
    <t>Equipment</t>
  </si>
  <si>
    <t>Equipment, etc. (Non-Business) [Sum of 4 i to 4 iv]</t>
  </si>
  <si>
    <t>Signatures:</t>
  </si>
  <si>
    <t>2/4</t>
  </si>
  <si>
    <t>Animal</t>
  </si>
  <si>
    <t>Animal (Non-Business) [Sum of 5 i to 5 iv]</t>
  </si>
  <si>
    <t>Livestock</t>
  </si>
  <si>
    <t>Pet</t>
  </si>
  <si>
    <t>Unspecified</t>
  </si>
  <si>
    <t>Investment</t>
  </si>
  <si>
    <t>Investment (Non-Business) [Sum of 6 i to 6 xiii]</t>
  </si>
  <si>
    <t>Account / Instrument No.</t>
  </si>
  <si>
    <t>Institution Name / Individual CNIC</t>
  </si>
  <si>
    <t>Account</t>
  </si>
  <si>
    <t>Current</t>
  </si>
  <si>
    <t>Fixed Deposit</t>
  </si>
  <si>
    <t>Profit / Loss Sharing</t>
  </si>
  <si>
    <t>Saving</t>
  </si>
  <si>
    <t>Annuity</t>
  </si>
  <si>
    <t>Bond</t>
  </si>
  <si>
    <t>Certificate</t>
  </si>
  <si>
    <t>Debenture</t>
  </si>
  <si>
    <t>Deposit</t>
  </si>
  <si>
    <t>Term Deposit</t>
  </si>
  <si>
    <t>Fund</t>
  </si>
  <si>
    <t>Instrument</t>
  </si>
  <si>
    <t>Insurance Policy</t>
  </si>
  <si>
    <t>Security</t>
  </si>
  <si>
    <t>xi</t>
  </si>
  <si>
    <t>Stock / Share</t>
  </si>
  <si>
    <t>xii</t>
  </si>
  <si>
    <t>Unit</t>
  </si>
  <si>
    <t>xiii</t>
  </si>
  <si>
    <t>Others</t>
  </si>
  <si>
    <t>Debt (Non-Business) [Sum of 7 i to 7 vii]</t>
  </si>
  <si>
    <t>No.</t>
  </si>
  <si>
    <t>Advance</t>
  </si>
  <si>
    <t>Debt</t>
  </si>
  <si>
    <t>Prepayment</t>
  </si>
  <si>
    <t>Receivable</t>
  </si>
  <si>
    <t>Motor Vehicle</t>
  </si>
  <si>
    <r>
      <t xml:space="preserve">Form
</t>
    </r>
    <r>
      <rPr>
        <i/>
        <sz val="10"/>
        <rFont val="Arial"/>
        <family val="2"/>
        <charset val="1"/>
      </rPr>
      <t>(Car,Jeep,Motor Cycle,Scooter,Van)</t>
    </r>
  </si>
  <si>
    <t>E&amp;TD Registration No.</t>
  </si>
  <si>
    <t>Maker</t>
  </si>
  <si>
    <t>Capacity</t>
  </si>
  <si>
    <t>3/4</t>
  </si>
  <si>
    <t>Precious Posession</t>
  </si>
  <si>
    <t>Precious Possession [Sum of 9 i to 9 iii]</t>
  </si>
  <si>
    <t>Antique / Artifact</t>
  </si>
  <si>
    <t>Jewelry / Ornament / Metal / Stone</t>
  </si>
  <si>
    <t>Others (Specify)</t>
  </si>
  <si>
    <t>Household Effect</t>
  </si>
  <si>
    <t>Household Effect [Sum of 10 i to 10 iv]</t>
  </si>
  <si>
    <t>Personal Item</t>
  </si>
  <si>
    <t>Personal Item [Sum of 11 i to 11 iv] *</t>
  </si>
  <si>
    <t>Cash</t>
  </si>
  <si>
    <t>Notes &amp; Coins</t>
  </si>
  <si>
    <t>Any Other Asset</t>
  </si>
  <si>
    <t>Assets in Others' Name</t>
  </si>
  <si>
    <t>Assets in Others' Name [Sum of 14 i to 14 iv]</t>
  </si>
  <si>
    <t>4/4</t>
  </si>
  <si>
    <t>Loan</t>
  </si>
  <si>
    <t>Creditor's NTN / CNIC</t>
  </si>
  <si>
    <t>Creditor's Name</t>
  </si>
  <si>
    <t>Borrowing</t>
  </si>
  <si>
    <t>Credit</t>
  </si>
  <si>
    <t>Mortgage</t>
  </si>
  <si>
    <t>Overdraft</t>
  </si>
  <si>
    <t>Payable</t>
  </si>
  <si>
    <t>Reconciliation of Net Assets</t>
  </si>
  <si>
    <t>Foreign Remittance</t>
  </si>
  <si>
    <t>Inheritance</t>
  </si>
  <si>
    <t>Gift</t>
  </si>
  <si>
    <t>Gain on Disposal of Assets, excluding Capital Gain on Immovable Property</t>
  </si>
  <si>
    <t>Personal Expenses [Transfer from Sr.1 Annex-F]</t>
  </si>
  <si>
    <t>Loss on Disposal of Assets</t>
  </si>
  <si>
    <t>Disposed Assets</t>
  </si>
  <si>
    <t>Dividend to a Non-Resident covered under ADDT u/s 150 / u/s 5</t>
  </si>
  <si>
    <t>Royalty / Fee for Technical Services to a Non-Resident covered under ADDT</t>
  </si>
  <si>
    <t>The following persons are required to furnish a return of income for a tax year:</t>
  </si>
  <si>
    <r>
      <t>(b) E</t>
    </r>
    <r>
      <rPr>
        <sz val="12"/>
        <rFont val="Arial"/>
        <family val="2"/>
      </rPr>
      <t>very person (other than a company) whose taxable income for the year exceeds PKR 400,000;</t>
    </r>
  </si>
  <si>
    <t>(c) Every non-profit organization as defined in clause (36) of section 2;</t>
  </si>
  <si>
    <r>
      <t>(d) Every</t>
    </r>
    <r>
      <rPr>
        <sz val="12"/>
        <rFont val="Arial"/>
        <family val="2"/>
      </rPr>
      <t xml:space="preserve"> welfare institution approved under clause (58) of Part I of the Second Schedule;</t>
    </r>
  </si>
  <si>
    <t>(a) Return on which CNIC is missing or incorrect or invalid;</t>
  </si>
  <si>
    <t>(b) Return on which mandatory fields marked by * are empty;</t>
  </si>
  <si>
    <t>(d) Return which is not filed in the prescribed Form;</t>
  </si>
  <si>
    <t>(c) Return which is not signed by the Taxpayer or his Representative (as defined in section 172 of the Income Tax Ordinance, 2001);</t>
  </si>
  <si>
    <t>(e) Return which is not filed in the prescribed mode.</t>
  </si>
  <si>
    <t>(a) Every company;</t>
  </si>
  <si>
    <t xml:space="preserve">(e) Every person who has been charged to tax in respect of any of the two preceding tax years; </t>
  </si>
  <si>
    <t xml:space="preserve">(f) Every person who claims a loss carried forward under this Ordinance for a tax year; </t>
  </si>
  <si>
    <t>(g) Every person who owns immovable property with a land area of two hundred and fifty square yards or more or owns any flat located in areas falling within the municipal limits existing immediately before the commencement of Local Government laws in the provinces; or areas in a Cantonment; or the Islamabad Capital Territory;</t>
  </si>
  <si>
    <t>(h) Every person who owns immoveable property with a land area of five hundred square yards or more located in a rating area;</t>
  </si>
  <si>
    <t>(i) Every person who owns a flat having covered area of two thousand square feet or more located in a rating area;</t>
  </si>
  <si>
    <t>(j) Every person who owns a motor vehicle having engine capacity above 1000 CC;</t>
  </si>
  <si>
    <t>(k) Every person who has obtained National Tax Number;</t>
  </si>
  <si>
    <t>(m) Every person who is registered with any chamber of commerce and industry or any trade or business association or any market committee or any professional body including Pakistan Engineering Council, Pakistan Medical and Dental Council, Pakistan Bar Council or any Provincial Bar Council, Institute of Chartered Accountants of Pakistan or Institute of Cost and Management Accountants of Pakistan;</t>
  </si>
  <si>
    <t>(n) Every individual whose income under the head Business exceeds PKR 300,000 but does not exceed PKR 400,000 in a tax year.</t>
  </si>
  <si>
    <t>(l) Every person who is the holder of commercial or industrial connection of electricity where the amount of annual bill exceeds rupees five hundred thousand;</t>
  </si>
  <si>
    <t>Electricity Bill of Domestic Consumer u/s 235A</t>
  </si>
  <si>
    <t>Payment for Services u/s 153(1)(b) @1%</t>
  </si>
  <si>
    <t>Payment for Services u/s 153(1)(b) @2%</t>
  </si>
  <si>
    <t>Payment for Services u/s 153(1)(b) @10%</t>
  </si>
  <si>
    <t>Adjustable Tax Collected / Deducted</t>
  </si>
  <si>
    <t>Advance Income Tax</t>
  </si>
  <si>
    <t>Admitted Income Tax</t>
  </si>
  <si>
    <t>WWF</t>
  </si>
  <si>
    <t>Add Backs u/s 34(5) Liabilities allowed Previously as deduction not Paid within three Years</t>
  </si>
  <si>
    <t>Add Backs Provision for Diminution in Value of Investment</t>
  </si>
  <si>
    <t>Add Backs u/s 21(b) Amount of Tax Deducted at Source</t>
  </si>
  <si>
    <t>Tax Amortization for Current Year</t>
  </si>
  <si>
    <t>Tax Depreciation / Initial Allowance for Current Year</t>
  </si>
  <si>
    <t>Unabsorbed Tax Depreciation for Previous Years</t>
  </si>
  <si>
    <t>Pre-Commencement Expenditure / Deferred Cost</t>
  </si>
  <si>
    <t>Remaining Useful Life</t>
  </si>
  <si>
    <t>Difference of Minimum Tax Chargeable on Electricity Bill u/s 235</t>
  </si>
  <si>
    <t>Difference of Minimum Tax Chargeable u/s 113</t>
  </si>
  <si>
    <t>Statement of Affairs / Balance Sheet</t>
  </si>
  <si>
    <t>Income / (Loss) from Business before adjustment of Admissible Depreciation / Initial Allowance / Amortization for current / previous years</t>
  </si>
  <si>
    <t>as Self / Representative (as defined in section 172 of the Income Tax Ordinance, 2001) of the Taxpayer named above, do solemnly declare that to the best of my knowledge &amp; belief the information given in this Return / Statement u/s 115(4) are correct &amp; complete in accordance with the provisions of the Income Tax Ordinance, 2001 &amp; Income Tax Rules, 2002.</t>
  </si>
  <si>
    <t>Accounting (Loss) on Sale of Intangibles</t>
  </si>
  <si>
    <t>Accounting (Loss) on Sale of Assets</t>
  </si>
  <si>
    <t>Income from Business</t>
  </si>
  <si>
    <t>Adjustments in Income Declared as per Return for the year</t>
  </si>
  <si>
    <t>Income Attributable to Receipts, etc. Declared as per Return for the year subject to Final / Fixed Tax</t>
  </si>
  <si>
    <t>Net Assets Previous Year</t>
  </si>
  <si>
    <t>Donation, Zakat, Annuity, Profit on Debt, Life Insurance Premium, etc.</t>
  </si>
  <si>
    <t>Functions / Gatherings</t>
  </si>
  <si>
    <t>Asset Insurance / Security</t>
  </si>
  <si>
    <t>Import of Edible Oil u/s 148 @5.5%</t>
  </si>
  <si>
    <t>Pre-Commencement Expenditure</t>
  </si>
  <si>
    <t>Turnover / Tax Chargeable u/s 113 @0.25%</t>
  </si>
  <si>
    <t>Tax Credits</t>
  </si>
  <si>
    <t>Share in untaxed Income from AOP</t>
  </si>
  <si>
    <t>Add Backs Accounting Depreciation</t>
  </si>
  <si>
    <t>Gross Revenue (excluding Sales Tax, Federal Excise)</t>
  </si>
  <si>
    <t>value of perquisites, 1/10 of goodwill from tenant, 1/10 of goodwill on vacating possession of property, repairs allowance, admissible / inadmissible deductions, brought forward losses, unabsorbed depreciation / amortization</t>
  </si>
  <si>
    <t>21 iv</t>
  </si>
  <si>
    <t>Income declared as per Return for the year subject to normal tax</t>
  </si>
  <si>
    <t>Income declared as per Return for the year exempt from tax</t>
  </si>
  <si>
    <t>Commercial, Industrial, Residential Property (Non-Business) [Sum of 2 i to 2 x]</t>
  </si>
  <si>
    <t>Cash (Non-business) [Sum of 12 i to 12 x]</t>
  </si>
  <si>
    <t>Any Other Asset [Sum of 13 i to 13 iv]</t>
  </si>
  <si>
    <t>Personal Expenses [Sum of 2 to 16 minus 17]</t>
  </si>
  <si>
    <t>Agriculture Income Tax</t>
  </si>
  <si>
    <r>
      <t>Net Revenue (excluding Sales Tax, Federal Excise, Brokerage, Commission, Discount, Freight Outward)</t>
    </r>
    <r>
      <rPr>
        <b/>
        <sz val="9"/>
        <rFont val="Arial"/>
        <family val="2"/>
        <charset val="1"/>
      </rPr>
      <t xml:space="preserve"> [2-3]</t>
    </r>
  </si>
  <si>
    <t>Land</t>
  </si>
  <si>
    <t>Plant / Machinery / Equipment / Furniture (including fittings)</t>
  </si>
  <si>
    <t>Electricity Bill of Commercial Consumer u/s 235</t>
  </si>
  <si>
    <t>Electricity Bill of Industrial Consumer u/s 235</t>
  </si>
  <si>
    <t>Normal Income Tax</t>
  </si>
  <si>
    <t>Import u/s 148 @5.5%</t>
  </si>
  <si>
    <t>Motor Vehicle Registration Fee u/s 231B(1)</t>
  </si>
  <si>
    <t>Motor Vehicle Transfer Fee u/s 231B(2)</t>
  </si>
  <si>
    <t>Motor Vehicle Sale u/s 231B(3)</t>
  </si>
  <si>
    <t>Goods Transport Public Vehicle Tax u/s 234</t>
  </si>
  <si>
    <t>Passenger Transport Public Vehicle Tax u/s 234</t>
  </si>
  <si>
    <t>Private Vehicle Tax u/s 234</t>
  </si>
  <si>
    <t>Telephone Bill u/s 236(1)(a)</t>
  </si>
  <si>
    <t>Cellphone Bill u/s 236(1)(a)</t>
  </si>
  <si>
    <t>Prepaid Telephone Card u/s 236(1)(b)</t>
  </si>
  <si>
    <t>Purchase of Fertilizer by Distributors / Dealers / Wholesalers u/s 236G</t>
  </si>
  <si>
    <t>Purchase of other commodities by Distributors / Dealers / Wholesalers u/s 236G</t>
  </si>
  <si>
    <t>Phone Unit u/s 236(1)(c)</t>
  </si>
  <si>
    <t>Royalty / Fee for Technical Services to a Non-Resident u/s 152(1) / Division IV, Part I, 1st Schedule</t>
  </si>
  <si>
    <t>Payment for Contracts for Construction, Assembly or Installation to a Non-Resident u/s 152(1A)(a) / Division II, Part III, 1st Schedule</t>
  </si>
  <si>
    <t>Payment for Services, Contracts to a Non-Resident u/s 152(1A)(b) / Division II, Part III, 1st Schedule</t>
  </si>
  <si>
    <t>Fee for Advertisement Services to a Non-Resident u/s 152(1A)(c) / Division II, Part III, 1st Schedule</t>
  </si>
  <si>
    <t>Insurance / Reinsurance Premium to a Non-Resident u/s 152(1AA) / Division II, Part III, 1st Schedule</t>
  </si>
  <si>
    <t>Fee for Advertisement Services to a Non-Resident u/s 152(1AAA) / Division II, Part III, 1st Schedule</t>
  </si>
  <si>
    <t>Profit on Debt u/s 152(2) / u/c (5A), Part II, 2nd Schedule</t>
  </si>
  <si>
    <t>Payment for Goods, Services, Contracts, Rent, etc. to a Non-Resident covered under ADDT</t>
  </si>
  <si>
    <t>Prize on Prize Bond u/s 156</t>
  </si>
  <si>
    <t>Winnings from Crossword Puzzle u/s 156</t>
  </si>
  <si>
    <t>Winnings from Raffle u/s 156</t>
  </si>
  <si>
    <t>Winnings from Lottery u/s 156</t>
  </si>
  <si>
    <t>Winnings from Quiz u/s 156</t>
  </si>
  <si>
    <t>Winnings from Sale Promotion u/s 156</t>
  </si>
  <si>
    <t>Brokerage / Commission u/s 233 @12%</t>
  </si>
  <si>
    <t>Individuals, including members of AOPs or directors of Companies must file Wealth Statement.</t>
  </si>
  <si>
    <t>Electronically at FBR Portal (https://iris.fbr.gov.pk/infosys/public/txplogin.xhtml) which is mandatory for all Companies, AOPs, Sales Tax Registered Persons, Refund Claimants &amp; Individuals having income under the head Salary. However, all others are also encouraged to  electronically file Return;</t>
  </si>
  <si>
    <t>CNG Station Gas Bill u/s 234A</t>
  </si>
  <si>
    <t>Dividend u/s 150 @7.5%</t>
  </si>
  <si>
    <t>" Fill only blank yellow fields "</t>
  </si>
  <si>
    <r>
      <rPr>
        <sz val="8"/>
        <color indexed="8"/>
        <rFont val="Arial"/>
        <family val="2"/>
      </rPr>
      <t xml:space="preserve">Name </t>
    </r>
    <r>
      <rPr>
        <sz val="6"/>
        <color indexed="8"/>
        <rFont val="Arial"/>
        <family val="2"/>
      </rPr>
      <t>(Ind./Managing Partner)</t>
    </r>
  </si>
  <si>
    <t>Business Name</t>
  </si>
  <si>
    <t>Business Address</t>
  </si>
  <si>
    <t>Residential Address</t>
  </si>
  <si>
    <t>Net Purchases</t>
  </si>
  <si>
    <t>Other Receipts</t>
  </si>
  <si>
    <t>Cost of Sales [3 + 4 + 5 - 6]</t>
  </si>
  <si>
    <t>Manufacturing / Trading Expenses</t>
  </si>
  <si>
    <t>Gross Profit/(Loss) [1 - 2]</t>
  </si>
  <si>
    <t>Other Revenues / Fee / Charges</t>
  </si>
  <si>
    <t>Profit &amp; Loss Expenses</t>
  </si>
  <si>
    <t>Net Profit / (Loss) [(7 + 8) - 9]</t>
  </si>
  <si>
    <t>BREAKUP OF EXPENSES</t>
  </si>
  <si>
    <t>Manufacturing &amp; Trading Expenses</t>
  </si>
  <si>
    <t>S.#</t>
  </si>
  <si>
    <t xml:space="preserve">Description </t>
  </si>
  <si>
    <t xml:space="preserve">Total (Add 1 to 9)         </t>
  </si>
  <si>
    <t>Profit &amp; Loss Account Expenses</t>
  </si>
  <si>
    <t xml:space="preserve">Total (Add 10 to 27)         </t>
  </si>
  <si>
    <t>INCOME FROM BUSINESS</t>
  </si>
  <si>
    <t>INCOME FROM AGRICULTURE</t>
  </si>
  <si>
    <t>SHARE FROM AOP</t>
  </si>
  <si>
    <t>FOREIGN REMITTANCE</t>
  </si>
  <si>
    <t>INCOME FROM OTHER SOURCES</t>
  </si>
  <si>
    <t>SHARE ALLOCATION</t>
  </si>
  <si>
    <t>PROFIT</t>
  </si>
  <si>
    <t>CAPITAL</t>
  </si>
  <si>
    <t>TOTAL</t>
  </si>
  <si>
    <t>Total Other Revenue</t>
  </si>
  <si>
    <t>Sr.No.</t>
  </si>
  <si>
    <t>From</t>
  </si>
  <si>
    <t>To</t>
  </si>
  <si>
    <t>Max. Tax Within Slab</t>
  </si>
  <si>
    <t>Rate
(%)</t>
  </si>
  <si>
    <t>Tax Amount</t>
  </si>
  <si>
    <t>Taxable Amount:</t>
  </si>
  <si>
    <t>Total Tax:</t>
  </si>
  <si>
    <t>GROSS PROPERTY INCOME</t>
  </si>
  <si>
    <t>NET INCOME</t>
  </si>
  <si>
    <t>Annual Income Tax</t>
  </si>
  <si>
    <t>SLAB</t>
  </si>
  <si>
    <t>Where the taxable Income Exceed</t>
  </si>
  <si>
    <t>but does not exceed rupees</t>
  </si>
  <si>
    <t xml:space="preserve">Rate Of Tax </t>
  </si>
  <si>
    <t>Addition</t>
  </si>
  <si>
    <t>TAX PAYABLE</t>
  </si>
  <si>
    <t>TO</t>
  </si>
  <si>
    <t>Tax Liability Annual</t>
  </si>
  <si>
    <t>ADJUSTABLE TAXES</t>
  </si>
  <si>
    <t>TELEPHONE U/S. 236</t>
  </si>
  <si>
    <t>ELECTRIC U/S. 235</t>
  </si>
  <si>
    <t>ADVANCE TAX U/S. 147</t>
  </si>
  <si>
    <t>Receipts from Other Sources</t>
  </si>
  <si>
    <t>Royalty</t>
  </si>
  <si>
    <t>Profit on Debt (Interest, Yield, etc)</t>
  </si>
  <si>
    <t>Ground Rent</t>
  </si>
  <si>
    <t>Rent from sub lease of Land or Building</t>
  </si>
  <si>
    <t>Rent from lease of Building with Plant and Machinery</t>
  </si>
  <si>
    <t>Deductions from Other Sources</t>
  </si>
  <si>
    <t>Other Deductions</t>
  </si>
  <si>
    <t xml:space="preserve">Profit on Debt u/s 7B </t>
  </si>
  <si>
    <t>Commission / Discount on petroleum products u/s 156A   @ 12%</t>
  </si>
  <si>
    <t>Brokerage / Commission u/s 233 @10%</t>
  </si>
  <si>
    <t>Payment for rent / right to use machinery / equipment u/s 236Q</t>
  </si>
  <si>
    <t>64151651</t>
  </si>
  <si>
    <t>Capital Gains on Securities u/s 37A @15%</t>
  </si>
  <si>
    <t xml:space="preserve">Internet Bill u/s 236(1)(d) </t>
  </si>
  <si>
    <t xml:space="preserve">Prepaid Internet Card u/s 236(1)(e) </t>
  </si>
  <si>
    <t>Management, Administrative, Selling &amp; Financial Expenses [Sum of 24 to 43]</t>
  </si>
  <si>
    <t>Total Assets inside Pakistan [Sum of 1 to 14]</t>
  </si>
  <si>
    <t>Assets outside Pakistan</t>
  </si>
  <si>
    <t>*Assets held outside Pakistan [Sum of 16 (i) to 16 (iv)]</t>
  </si>
  <si>
    <t>Total Assets [15+16]</t>
  </si>
  <si>
    <t>FINAL &amp; FIXED</t>
  </si>
  <si>
    <t>Status (I or A)</t>
  </si>
  <si>
    <t>N.T.No.</t>
  </si>
  <si>
    <t>Reg. / CNIC No.</t>
  </si>
  <si>
    <t>-</t>
  </si>
  <si>
    <t>Annuity/pension</t>
  </si>
  <si>
    <t>Payment for foreign produced commercials to a non-resident</t>
  </si>
  <si>
    <t>Payment for services u/s 153(1)(b) @ 1.5%</t>
  </si>
  <si>
    <t>Receipts from Contracts u/s 153(1)(c) @10%</t>
  </si>
  <si>
    <t>Sale proceeds of goods to exporter u/s 154(3)</t>
  </si>
  <si>
    <t>Sale proceeds of goods by industrial undertaking u/s 154(3A)</t>
  </si>
  <si>
    <t>Contract payments to indirect exporter u/s 154(3B)</t>
  </si>
  <si>
    <t>Brokerage / Commission u/s 233 @8%</t>
  </si>
  <si>
    <t>Lease of rights to collect tolls u/s 236A(3)</t>
  </si>
  <si>
    <t>Rent of machinery &amp; equipment u/s 236Q(2)</t>
  </si>
  <si>
    <t>64151652</t>
  </si>
  <si>
    <t>64151802</t>
  </si>
  <si>
    <t>Capital Gains on Securities u/s 37A @ 5%</t>
  </si>
  <si>
    <t>Capital Gains on Securities u/s 37A @ 7.5%</t>
  </si>
  <si>
    <t>Receipts from shipping business of a resident person u/s 7A</t>
  </si>
  <si>
    <t>Fee for transport services outside Pakistan under clause(3),Part-II, Second Schedule @ 1%</t>
  </si>
  <si>
    <t>Fee for advertising services by electronic and print media outside Pakistan under clause (3), Part-II, Second Schedule @ 0.75%</t>
  </si>
  <si>
    <t>Fee for other services  outside Pakistan under clause (3), Part-II, Second Schedule @ 5%</t>
  </si>
  <si>
    <t>Receipts for Contracts outside Pakistan u/c (3), Part II, 2nd Schedule @3.75%</t>
  </si>
  <si>
    <t>Other Revenues [Sum of 19 to 22]</t>
  </si>
  <si>
    <t>Accounting Profit / (Loss) [17+18-24]</t>
  </si>
  <si>
    <t>Add Backs u/s 21(e) Contributions to Unrecognized / Unapproved Funds</t>
  </si>
  <si>
    <t>Add Backs u/s 21(f) Contributions to Funds not under effective arrangement for deduction of tax at source</t>
  </si>
  <si>
    <t>Add Backs u/s 21(i) Provision for Reserves / Funds / Amount carried to Reserves / Funds or Capitalized</t>
  </si>
  <si>
    <t>Add Backs u/s 21(j) Profit on Debt / Brokerage / Commission / Salary / Remuneration paid by an AOP to its member</t>
  </si>
  <si>
    <t>Add Backs u/s 21(o) Sales promotion, advertisement and publicity expenses of pharmaceutical manufacturers exceeding prescribed limit</t>
  </si>
  <si>
    <t>Minimum Tax Chargeable [Col.E Sum of 2 to 6]</t>
  </si>
  <si>
    <t>Payment for Services u/s 153(1)(b) @15%</t>
  </si>
  <si>
    <t>Export Proceeds u/s 154(1) @1%</t>
  </si>
  <si>
    <t>Foreign Indenting Commission u/s 154(2)</t>
  </si>
  <si>
    <t>Sale Proceeds of goods to exporter u/s 154(3)</t>
  </si>
  <si>
    <t>Sale Proceeds of of goods by industrial undertaking u/s 154(3A)</t>
  </si>
  <si>
    <t>Contract Payments to indirect exporter u/s 154(3B)</t>
  </si>
  <si>
    <t>Export Proceeds u/s 154(3C)</t>
  </si>
  <si>
    <t>Commission / Discount on petroleum products u/s 156A @12%</t>
  </si>
  <si>
    <t>Motor Vehicle (Non-Business) [Sum of 8 i to 8 v]</t>
  </si>
  <si>
    <t>Total Liabilities</t>
  </si>
  <si>
    <t>Net Assets Current Year [17-19]</t>
  </si>
  <si>
    <t>Increase / Decrease in Assets [20-21]</t>
  </si>
  <si>
    <t>Inflows [Sum of 23 (i) to 23(x)]</t>
  </si>
  <si>
    <t>Outflows [Sum of 25 (i) to 25 (iii)]</t>
  </si>
  <si>
    <t>Unreconciled Amount [23-24-25]</t>
  </si>
  <si>
    <t>Assets Transferred / Sold / Gifted / Donated during the year [Sum of 27 (i) to 27 (ii)]</t>
  </si>
  <si>
    <t>RTO</t>
  </si>
  <si>
    <t>TAX</t>
  </si>
  <si>
    <t>Annual Final / Fixed Tax</t>
  </si>
  <si>
    <t>PRESUMPTIVE INCOME</t>
  </si>
  <si>
    <t>Dividend u/s 150 @ 15%</t>
  </si>
  <si>
    <t>Educational expenses u/s 60D</t>
  </si>
  <si>
    <t>Gains / (Loss) from Capital Assets (including securities)</t>
  </si>
  <si>
    <t>Import u/s 148 @1.75%</t>
  </si>
  <si>
    <t>Import u/s 148 @2.75%</t>
  </si>
  <si>
    <t>Import u/s 148 @4.125%</t>
  </si>
  <si>
    <t>Return on investment in sukuks u/s 5AA</t>
  </si>
  <si>
    <t>Payment for goods u/s 153(1)(a) @ 2.5%</t>
  </si>
  <si>
    <t>64151807</t>
  </si>
  <si>
    <t>Capital Gains on Securities u/s 37A @ 10%</t>
  </si>
  <si>
    <t>Motor Vehicle Leasing u/s.231B(1A) @4%</t>
  </si>
  <si>
    <t>Payment for Goods u/s 153(1)(a) @2.5%</t>
  </si>
  <si>
    <t>Total Equity / Liabilities [Sum of 61 to 63]</t>
  </si>
  <si>
    <t>Total Assets [Sum of 54 to 59]</t>
  </si>
  <si>
    <t>PRESUMPTIVE INCOME AFTER TAX</t>
  </si>
  <si>
    <t>ELECTRIC U/S. 235 -COMM</t>
  </si>
  <si>
    <t>ELECTRIC U/S. 235 -IND</t>
  </si>
  <si>
    <t>Import u/s 148 @4%</t>
  </si>
  <si>
    <t>Yield on Behbood Certificates / Pensioner''s Benefit Account/Shuhada Family Welfare Account</t>
  </si>
  <si>
    <t>Attributable income from controlled foreign company u/s 109A @15%</t>
  </si>
  <si>
    <t>Import of Mobile u/s. 148</t>
  </si>
  <si>
    <t>Payment for transport services to a PE of a non-resident u/s.152(2A)(b) @ 10%</t>
  </si>
  <si>
    <t>Payment for trasnport services to a non-resident u/s. 152(2A)(b) @ 2%</t>
  </si>
  <si>
    <t>Sale of certain petroleum products u/s 236HA @ 0.5%</t>
  </si>
  <si>
    <t>Directorship Fee u/s.149(3) @ 20%</t>
  </si>
  <si>
    <t>Credit (Non-Business) [Sum of 18 i to 18 viii]</t>
  </si>
  <si>
    <t>TAX YEAR</t>
  </si>
  <si>
    <t>TAXABLE AMOUNT</t>
  </si>
  <si>
    <t>TOTAL RECEIPTS</t>
  </si>
  <si>
    <t>TAXED DEDUCTED</t>
  </si>
  <si>
    <t>MINIMUM TAX CALCULATION</t>
  </si>
  <si>
    <t xml:space="preserve">Tax on Attributable Taxable Income </t>
  </si>
  <si>
    <t>MINIMUM TAX / TAX PAYABLE</t>
  </si>
  <si>
    <t>Foreign Business Income / (Loss)</t>
  </si>
  <si>
    <t>Foreign Capital Gains / (Loss)</t>
  </si>
  <si>
    <t>Foreign Other Sources Income / (Loss)</t>
  </si>
  <si>
    <t>Foreign Property Income / (Loss)</t>
  </si>
  <si>
    <t>Turnover / Tax Chargeable u/s 113 @0.3%</t>
  </si>
  <si>
    <t>Turnover / Tax Chargeable u/s 113 @0.75%</t>
  </si>
  <si>
    <t>Turnover / Tax Chargeable u/s 113 @1.5%</t>
  </si>
  <si>
    <t>Deduction of Tax from Yarn Traders u/s 153(1)(a)</t>
  </si>
  <si>
    <t>Deduction of Tax from Yarn Traders u/s 153(1)(b)</t>
  </si>
  <si>
    <t>Export Proceeds u/s 154 @1%</t>
  </si>
  <si>
    <t>Brokerage / Commission u/s 233 @5%</t>
  </si>
  <si>
    <t>Capital Gains on Immovable Property u/s 37(1A)</t>
  </si>
  <si>
    <t>Capital Gains on Securities u/s 37A @ 0%</t>
  </si>
  <si>
    <t>Capital Gains on Securities u/s 37A @ 12.5%</t>
  </si>
  <si>
    <t>Fee for Carriage Services by Oil Tanker/Goods Transport Contractor u/c (43D) and (43E), Part IV, 2nd Schedule</t>
  </si>
  <si>
    <t>Profit on Debt (if amount u/s 7B exceeds Rs. 36 million)</t>
  </si>
  <si>
    <t>mport u/s 148 @1%</t>
  </si>
  <si>
    <t>Import of Plastic Raw Material u/s 148 @ 1.75%</t>
  </si>
  <si>
    <t>Import u/s 148 @ 4.125%</t>
  </si>
  <si>
    <t>Import u/s 148 @ 2.75%</t>
  </si>
  <si>
    <t>Import of ships by ship breakers u/s 148(8A) @ 4.5%</t>
  </si>
  <si>
    <t>Payment for contracts for consruction, assembly of instalation to a non-resident u/s 152(1A)</t>
  </si>
  <si>
    <t>Payment for transport services to a PE of a non-resident u/s 152(2A)(b)</t>
  </si>
  <si>
    <t>Payment for services contracts to a non-resident u/s 152(1A)(b)</t>
  </si>
  <si>
    <t>Fee for Advertisement Services to a non-resident u/s 152(1A)©</t>
  </si>
  <si>
    <t>Insurance/re-instruance premium to a non-resident u/s 152(1AA)</t>
  </si>
  <si>
    <t>Payment for other services for PE of a non-resident u/s 152(2A)(b)</t>
  </si>
  <si>
    <t>Payment for goods u/s 153(1a) @ 0.25%</t>
  </si>
  <si>
    <t>Payment for goods u/s 153(1a) @ 2.5%</t>
  </si>
  <si>
    <t>Payment for goods u/s 153(1a) @ 4.5%</t>
  </si>
  <si>
    <t>Payment for Services u/s 153(1)(b) @ 1.5%</t>
  </si>
  <si>
    <t>Payment for specified for Services u/s 153(1)(b) @ 3%</t>
  </si>
  <si>
    <t>Deduction of Tax from yarn u/s 153(1)(a)</t>
  </si>
  <si>
    <t>Deduction of Tax from yarn u/s 153(1)(b)</t>
  </si>
  <si>
    <t>Number of imported mobile phones u/s 148 upto 30$ @ Rs.70</t>
  </si>
  <si>
    <t>Number of imported mobile phones u/s 148 exceeding 30$ upto 100$ @ Rs.100</t>
  </si>
  <si>
    <t>Number of imported mobile phones u/s 148 exceeding 100$ upto 200$ @ Rs.930</t>
  </si>
  <si>
    <t>Number of imported mobile phones u/s 148 exceeding 200$ upto 350$ @ Rs.970</t>
  </si>
  <si>
    <t>Number of imported mobile phones u/s 148 exceeding 350$ upto 500$ @ Rs.3000</t>
  </si>
  <si>
    <t>Number of imported mobile phones u/s 148 exceeding 500$ @ Rs.50200</t>
  </si>
  <si>
    <t xml:space="preserve">Fee for Goods Transport Contractor u/c (43E), Part IV Second Schedule </t>
  </si>
  <si>
    <t>Fee for Carriage Services by Oil Tanker u/c (43D), Part IV Second Scheule</t>
  </si>
  <si>
    <t>TAXED SUPPLIES/ IMPORT/ SERVICES</t>
  </si>
  <si>
    <t>TAXABLE INCOME</t>
  </si>
  <si>
    <t xml:space="preserve">Attributable Taxable Income </t>
  </si>
  <si>
    <t>*****************</t>
  </si>
  <si>
    <t>NORMAL INCOME TAX</t>
  </si>
  <si>
    <t>Elec. / Tel. No.</t>
  </si>
  <si>
    <t>Consumer Name:</t>
  </si>
  <si>
    <t>DATE</t>
  </si>
  <si>
    <t>NET</t>
  </si>
  <si>
    <t>DISCLAIMER:</t>
  </si>
  <si>
    <t>CONTACT US:</t>
  </si>
  <si>
    <t>EMAIL:</t>
  </si>
  <si>
    <t>ibrahimkhan_co@yahoo.com</t>
  </si>
  <si>
    <t>BILL AMOUNT</t>
  </si>
  <si>
    <t>Income / (Loss) from Property [Sum of 2 to 10]</t>
  </si>
  <si>
    <t>Recovery of Unpaid Irrecoverable Rent allowed as deduction</t>
  </si>
  <si>
    <t>Unpaid Liabilities exceeding three years</t>
  </si>
  <si>
    <t>Insurance Premium</t>
  </si>
  <si>
    <t>Local Rate / Tax / Charge / Cess</t>
  </si>
  <si>
    <t>Other Deductions against Rent</t>
  </si>
  <si>
    <r>
      <t xml:space="preserve">1/5th of Rent of Building for Repairs </t>
    </r>
    <r>
      <rPr>
        <b/>
        <sz val="9"/>
        <rFont val="Arial"/>
        <family val="2"/>
      </rPr>
      <t>[(2+3+4)*20%]</t>
    </r>
  </si>
  <si>
    <t>Income / (Loss) from Other Sources [Sum of 14 to 22] - [Sum of 23 to 25]</t>
  </si>
  <si>
    <t>Difference of Minimum Tax Chargeable u/s  148 / 153</t>
  </si>
  <si>
    <t>Turnover / Tax Chargeable u/s 113 @1.25%</t>
  </si>
  <si>
    <t>Deductible Allowances [Sum of 35 to 38]</t>
  </si>
  <si>
    <t>Taxable Income [33-34]*</t>
  </si>
  <si>
    <t xml:space="preserve">Adjustment of Minimum Tax Paid u/s 113 in earlier Year(s) </t>
  </si>
  <si>
    <t>Turnover / Tax Chargeable u/s 113 @0.5%</t>
  </si>
  <si>
    <t>Tax Paid [ as per 54 + 55 + Annex'A']</t>
  </si>
  <si>
    <t>Refundable Income Tax [40-53 if &lt;0]</t>
  </si>
  <si>
    <t>Demanded Income Tax [40-53 if &gt;0]</t>
  </si>
  <si>
    <r>
      <t>Refund Adjustment of Other Year(s) against Demand of this Yea</t>
    </r>
    <r>
      <rPr>
        <sz val="10"/>
        <color indexed="8"/>
        <rFont val="Arial"/>
        <family val="2"/>
      </rPr>
      <t>r</t>
    </r>
  </si>
  <si>
    <t>Final / Fixed / Minimum / Average / Relevant / Reduced Income Tax [Sum of 55 to 139]</t>
  </si>
  <si>
    <t xml:space="preserve">Fee of offshore digital services to a non-resident u/s.152(1C) </t>
  </si>
  <si>
    <t>Dividend in specie u/s 150 @ 7.5%</t>
  </si>
  <si>
    <t>Dividend in specie u/s 150 @ 15%</t>
  </si>
  <si>
    <t>Capital Gains on Immovable Property u/s 37(3A) where holding period doesnot exceed 1 year</t>
  </si>
  <si>
    <t>64220058</t>
  </si>
  <si>
    <t>64220059</t>
  </si>
  <si>
    <t xml:space="preserve">Capital Gains on Immovable Property u/s 37(3A) where holding period exceeds 1 year but doesnot exceed 2 years </t>
  </si>
  <si>
    <t xml:space="preserve">Capital Gains on Immovable Property u/s 37(3A) where holding period exceeds 2 years but doesnot exceed 3 years </t>
  </si>
  <si>
    <t>64330058</t>
  </si>
  <si>
    <t>64220060</t>
  </si>
  <si>
    <t>64220050</t>
  </si>
  <si>
    <t xml:space="preserve">Capital Gains on Immovable Property u/s 37(3A) where holding period exceeds 3 year but doesnot exceed 4 years </t>
  </si>
  <si>
    <t>64330059</t>
  </si>
  <si>
    <t>Adjustable Tax [Sum of 2 to 38]</t>
  </si>
  <si>
    <t>Profit on debt u/s 151 @ 15%</t>
  </si>
  <si>
    <t>Inadmissible Deductions [Sum of 2 to 32]</t>
  </si>
  <si>
    <t xml:space="preserve">Add Backs u/s 21(p) Utility bills exceeding prescribed amount not paid through prescribed mode  </t>
  </si>
  <si>
    <t>Add Backs u/s 21(q) Expenditure attributable to sale to person required to be registered under Sales Tax but not registered</t>
  </si>
  <si>
    <t>Unadjusted (Loss) from Business for 2018</t>
  </si>
  <si>
    <t>Unadjusted (Loss) from Business for 2019</t>
  </si>
  <si>
    <t>Unadjusted (Loss) from Business for 2020</t>
  </si>
  <si>
    <t>Unadjusted (Loss) from Business for 2021</t>
  </si>
  <si>
    <t>WORKING FOR K-ELECTRIC (COMMERCIAL CONNECTIONS)</t>
  </si>
  <si>
    <t>If you have the K-Electric Tax Certificate then this work sheet is useful to calculate the bill amount</t>
  </si>
  <si>
    <t>TVL FEE</t>
  </si>
  <si>
    <t>WORKING FOR K-ELECTRIC (INDUSTRIAL CONNECTIONS)</t>
  </si>
  <si>
    <t>Gross Revenue</t>
  </si>
  <si>
    <t>Net Revenue</t>
  </si>
  <si>
    <t>CALCULATOR (INDIVIDUAL &amp; AOP)</t>
  </si>
  <si>
    <t>PROFIT ON DEBT</t>
  </si>
  <si>
    <t>PROFIT U/S. 151</t>
  </si>
  <si>
    <t>Tax on high earning persons u/s 4C</t>
  </si>
  <si>
    <t>9231822</t>
  </si>
  <si>
    <t>923183</t>
  </si>
  <si>
    <t>Tax on deemed income u/s 7E @20% (5% of FMV)</t>
  </si>
  <si>
    <t>Import u/s 148 @3.5%</t>
  </si>
  <si>
    <t>Export of services u/s 154A @ 0.25%</t>
  </si>
  <si>
    <t>Export of services u/s 154A @ 1%</t>
  </si>
  <si>
    <t>Functions/gatherings charges u/s 236CB</t>
  </si>
  <si>
    <t>Purchase by others from Retailers u/s 236H</t>
  </si>
  <si>
    <t>Withholding tax on sale consideration u/s 37(6)</t>
  </si>
  <si>
    <t>Unadjusted (Loss) from Business for 2022</t>
  </si>
  <si>
    <t>Add Backs u/s 21(ca) commission in excess of 0.2% of grass amount of supplies to a person not appearing in ATL in third schedule to Sales Tax Act, 1990.</t>
  </si>
  <si>
    <t>Admissible Deductions [Sum of 34 to 43]</t>
  </si>
  <si>
    <t>Tax deduction on payments to persons engaged in international money transfer or cross border remittances u/s 152(1DC)/ Division IV Part I First Schedule @ 10%</t>
  </si>
  <si>
    <t>Tax ddeduction on payment to persons to Card Network company/payment gateway or anyother person/interbank financial telecommunication services u/s 152(1DD)/Division IV Part I First Schedule @ 10%</t>
  </si>
  <si>
    <t>SELECT PROPERTY</t>
  </si>
  <si>
    <t>MUHAMMAD RAHIL IQBAL</t>
  </si>
  <si>
    <t>2024</t>
  </si>
  <si>
    <t>Individual Paper Return for Tax Year 2024</t>
  </si>
  <si>
    <t>Import u/s.148 @ 6%</t>
  </si>
  <si>
    <t>Bonus shares issued by compnaies u/s 236Z</t>
  </si>
  <si>
    <t>64151351</t>
  </si>
  <si>
    <t>Unadjusted (Loss) from Business for 2023</t>
  </si>
  <si>
    <t>as Self / Representative (as defined in section 172 of the Income Tax Ordinance, 2001) of Taxpayer named above, do  hereby  solemnly  declare  that  to  the best of my knowledge &amp; belief the information given in this statement of the assets &amp; liabilities of myself, my spouse(s), minor children &amp; other dependents as on 30.06.2024 &amp; of my personal expenditure for the year ended 30.06.2024 are correct &amp; complete in accordance with the provisions of the Income Tax Ordinance, 2001, Income Tax Rules, 2002.</t>
  </si>
  <si>
    <t>Constructed</t>
  </si>
  <si>
    <t>Payment for Goods u/s 153(1)(a) @5.5%</t>
  </si>
  <si>
    <t>Receipts from Contracts u/s 153(1)(c) @8%</t>
  </si>
  <si>
    <t xml:space="preserve">Capital Gains on Immovable Property u/s 37(1A) where holding period exceeds 4 years but does not exceed 5 years
</t>
  </si>
  <si>
    <t xml:space="preserve">Capital Gains on Immovable Property u/s 37(1A) where holding period exceeds 5 years but does not exceed 6 years
</t>
  </si>
  <si>
    <t>64330064</t>
  </si>
  <si>
    <t>64330065</t>
  </si>
  <si>
    <t>Capital Gains on Immovable Property u/s 37(1A) where holding period exceeds 6 years</t>
  </si>
  <si>
    <t>Plot</t>
  </si>
  <si>
    <t>Flat</t>
  </si>
  <si>
    <r>
      <rPr>
        <b/>
        <sz val="14"/>
        <color theme="0"/>
        <rFont val="Calibri"/>
        <family val="2"/>
        <scheme val="minor"/>
      </rPr>
      <t xml:space="preserve">FBR has issued a S.R.O. 950(I)/2024 dated 4th  JULY , 2024 in respect of Manual Income Tax Return Forms for the Tax Year 2024
</t>
    </r>
    <r>
      <rPr>
        <sz val="14"/>
        <color theme="0"/>
        <rFont val="Calibri"/>
        <family val="2"/>
        <scheme val="minor"/>
      </rPr>
      <t xml:space="preserve">The calculation in the Return of Income, Wealth Statement &amp; Reconciliation for the </t>
    </r>
    <r>
      <rPr>
        <b/>
        <sz val="18"/>
        <color indexed="9"/>
        <rFont val="Calibri"/>
        <family val="2"/>
      </rPr>
      <t>Tax Year 2024</t>
    </r>
    <r>
      <rPr>
        <sz val="14"/>
        <color indexed="9"/>
        <rFont val="Calibri"/>
        <family val="2"/>
      </rPr>
      <t xml:space="preserve"> is prepared carefully and the calculation formula has been tested, while every effort has been made to avoid errors or omissions in the content, if any mistake, error or discrepancy is noticed, it may be brought to our notice for immediate correction. It is notified that WE will be not responsible for any loss or damage to any one, of any kind, in any manner, therefrom. Users are advised to verify the content from original Government Ordinance/Acts/Rules/Notifications etc.
Any reliance you place on such information is therefore strictly at your own risk.</t>
    </r>
  </si>
  <si>
    <t>***!……!***</t>
  </si>
  <si>
    <t>RAHIL IQBAL &amp; CO.</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</si>
</sst>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0.00_);_(* \(#,##0.00\);_(* &quot;-&quot;??_);_(@_)"/>
    <numFmt numFmtId="164" formatCode="_-* #,##0.00_-;\-* #,##0.00_-;_-* \-??_-;_-@_-"/>
    <numFmt numFmtId="165" formatCode="_(* #,##0.00_);_(* \(#,##0.00\);_(* \-??_);_(@_)"/>
    <numFmt numFmtId="166" formatCode="00000000"/>
    <numFmt numFmtId="167" formatCode="_(* #,##0_);_(* \(#,##0\);_(* \-??_);_(@_)"/>
    <numFmt numFmtId="168" formatCode="d\-mmm\-yyyy;@"/>
    <numFmt numFmtId="169" formatCode="_(* #,##0_);_(* \(#,##0\);_(* &quot;-&quot;??_);_(@_)"/>
    <numFmt numFmtId="170" formatCode="_ * #,##0_ ;_ * \-#,##0_ ;_ * &quot;-&quot;??_ ;_ @_ "/>
    <numFmt numFmtId="171" formatCode="_-* #,##0_-;\-* #,##0_-;_-* &quot;-&quot;??_-;_-@_-"/>
    <numFmt numFmtId="172" formatCode="[&lt;=9999999]###\-####;\(###\)\ ###\-####"/>
    <numFmt numFmtId="173" formatCode="_(* #,##0.0_);_(* \(#,##0.0\);_(* &quot;-&quot;?_);_(@_)"/>
    <numFmt numFmtId="174" formatCode="0.000%"/>
    <numFmt numFmtId="175" formatCode="[$-409]mmm\-yy;@"/>
    <numFmt numFmtId="176" formatCode="[$-409]d\-mmm\-yyyy;@"/>
    <numFmt numFmtId="177" formatCode="0.0%"/>
    <numFmt numFmtId="178" formatCode="\-"/>
  </numFmts>
  <fonts count="117"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charset val="1"/>
    </font>
    <font>
      <strike/>
      <sz val="10"/>
      <name val="Arial"/>
      <family val="2"/>
      <charset val="1"/>
    </font>
    <font>
      <sz val="12"/>
      <color indexed="8"/>
      <name val="Calibri"/>
      <family val="2"/>
      <charset val="1"/>
    </font>
    <font>
      <b/>
      <sz val="12"/>
      <color indexed="8"/>
      <name val="Arial"/>
      <family val="2"/>
      <charset val="1"/>
    </font>
    <font>
      <sz val="12"/>
      <color indexed="8"/>
      <name val="Arial"/>
      <family val="2"/>
      <charset val="1"/>
    </font>
    <font>
      <sz val="12"/>
      <name val="Arial"/>
      <family val="2"/>
      <charset val="1"/>
    </font>
    <font>
      <b/>
      <sz val="10"/>
      <name val="Arial"/>
      <family val="2"/>
      <charset val="1"/>
    </font>
    <font>
      <b/>
      <sz val="11"/>
      <name val="Arial"/>
      <family val="2"/>
      <charset val="1"/>
    </font>
    <font>
      <b/>
      <sz val="12"/>
      <name val="Arial"/>
      <family val="2"/>
      <charset val="1"/>
    </font>
    <font>
      <b/>
      <sz val="10"/>
      <color indexed="55"/>
      <name val="Arial"/>
      <family val="2"/>
      <charset val="1"/>
    </font>
    <font>
      <b/>
      <sz val="9"/>
      <name val="Arial"/>
      <family val="2"/>
      <charset val="1"/>
    </font>
    <font>
      <sz val="10"/>
      <color indexed="55"/>
      <name val="Arial"/>
      <family val="2"/>
      <charset val="1"/>
    </font>
    <font>
      <b/>
      <sz val="10"/>
      <color indexed="9"/>
      <name val="Arial"/>
      <family val="2"/>
      <charset val="1"/>
    </font>
    <font>
      <sz val="9"/>
      <name val="Arial"/>
      <family val="2"/>
      <charset val="1"/>
    </font>
    <font>
      <sz val="10"/>
      <color indexed="10"/>
      <name val="Arial"/>
      <family val="2"/>
      <charset val="1"/>
    </font>
    <font>
      <b/>
      <sz val="10"/>
      <color indexed="10"/>
      <name val="Arial"/>
      <family val="2"/>
      <charset val="1"/>
    </font>
    <font>
      <sz val="10"/>
      <color indexed="17"/>
      <name val="Arial"/>
      <family val="2"/>
      <charset val="1"/>
    </font>
    <font>
      <sz val="10"/>
      <color indexed="30"/>
      <name val="Arial"/>
      <family val="2"/>
      <charset val="1"/>
    </font>
    <font>
      <i/>
      <sz val="10"/>
      <name val="Arial"/>
      <family val="2"/>
      <charset val="1"/>
    </font>
    <font>
      <b/>
      <sz val="8"/>
      <name val="Arial"/>
      <family val="2"/>
      <charset val="1"/>
    </font>
    <font>
      <b/>
      <sz val="10"/>
      <color indexed="8"/>
      <name val="Arial"/>
      <family val="2"/>
      <charset val="1"/>
    </font>
    <font>
      <b/>
      <i/>
      <sz val="10"/>
      <name val="Arial"/>
      <family val="2"/>
      <charset val="1"/>
    </font>
    <font>
      <b/>
      <i/>
      <sz val="8"/>
      <name val="Arial"/>
      <family val="2"/>
      <charset val="1"/>
    </font>
    <font>
      <sz val="8"/>
      <name val="Arial"/>
      <family val="2"/>
    </font>
    <font>
      <sz val="10"/>
      <name val="Arial"/>
      <family val="2"/>
    </font>
    <font>
      <sz val="12"/>
      <name val="Arial"/>
      <family val="2"/>
    </font>
    <font>
      <b/>
      <sz val="10"/>
      <name val="Arial"/>
      <family val="2"/>
    </font>
    <font>
      <sz val="9"/>
      <name val="Arial"/>
      <family val="2"/>
    </font>
    <font>
      <sz val="7"/>
      <color indexed="8"/>
      <name val="Arial"/>
      <family val="2"/>
    </font>
    <font>
      <b/>
      <sz val="12"/>
      <color indexed="43"/>
      <name val="Arial"/>
      <family val="2"/>
    </font>
    <font>
      <sz val="9"/>
      <color indexed="8"/>
      <name val="Arial"/>
      <family val="2"/>
    </font>
    <font>
      <sz val="8"/>
      <color indexed="8"/>
      <name val="Arial"/>
      <family val="2"/>
    </font>
    <font>
      <sz val="6"/>
      <color indexed="8"/>
      <name val="Arial"/>
      <family val="2"/>
    </font>
    <font>
      <b/>
      <sz val="8"/>
      <color indexed="8"/>
      <name val="Century Gothic"/>
      <family val="2"/>
    </font>
    <font>
      <b/>
      <sz val="11"/>
      <color indexed="8"/>
      <name val="Century Gothic"/>
      <family val="2"/>
    </font>
    <font>
      <sz val="11"/>
      <color indexed="8"/>
      <name val="Calibri"/>
      <family val="2"/>
    </font>
    <font>
      <sz val="12"/>
      <color indexed="8"/>
      <name val="Book Antiqua"/>
      <family val="1"/>
    </font>
    <font>
      <b/>
      <u/>
      <sz val="14"/>
      <color indexed="8"/>
      <name val="Book Antiqua"/>
      <family val="1"/>
    </font>
    <font>
      <b/>
      <u/>
      <sz val="20"/>
      <color indexed="8"/>
      <name val="Book Antiqua"/>
      <family val="1"/>
    </font>
    <font>
      <b/>
      <sz val="14"/>
      <color indexed="8"/>
      <name val="Book Antiqua"/>
      <family val="1"/>
    </font>
    <font>
      <sz val="14"/>
      <color indexed="8"/>
      <name val="Book Antiqua"/>
      <family val="1"/>
    </font>
    <font>
      <b/>
      <sz val="16"/>
      <color indexed="8"/>
      <name val="Book Antiqua"/>
      <family val="1"/>
    </font>
    <font>
      <sz val="16"/>
      <color indexed="8"/>
      <name val="Book Antiqua"/>
      <family val="1"/>
    </font>
    <font>
      <sz val="10"/>
      <name val="Book Antiqua"/>
      <family val="1"/>
    </font>
    <font>
      <sz val="9"/>
      <name val="Book Antiqua"/>
      <family val="1"/>
    </font>
    <font>
      <b/>
      <sz val="12"/>
      <color indexed="8"/>
      <name val="Book Antiqua"/>
      <family val="1"/>
    </font>
    <font>
      <sz val="10"/>
      <color indexed="8"/>
      <name val="Book Antiqua"/>
      <family val="1"/>
    </font>
    <font>
      <b/>
      <sz val="11"/>
      <color indexed="8"/>
      <name val="Calibri"/>
      <family val="2"/>
    </font>
    <font>
      <sz val="12"/>
      <color indexed="8"/>
      <name val="Calibri"/>
      <family val="2"/>
    </font>
    <font>
      <sz val="8"/>
      <color indexed="8"/>
      <name val="Book Antiqua"/>
      <family val="1"/>
    </font>
    <font>
      <sz val="10"/>
      <color indexed="8"/>
      <name val="Arial"/>
      <family val="2"/>
    </font>
    <font>
      <sz val="9"/>
      <color indexed="55"/>
      <name val="Arial"/>
      <family val="2"/>
      <charset val="1"/>
    </font>
    <font>
      <sz val="8"/>
      <name val="Arial"/>
      <family val="2"/>
      <charset val="1"/>
    </font>
    <font>
      <sz val="7"/>
      <name val="Arial"/>
      <family val="2"/>
    </font>
    <font>
      <b/>
      <sz val="7"/>
      <name val="Arial"/>
      <family val="2"/>
    </font>
    <font>
      <b/>
      <sz val="6"/>
      <name val="Arial"/>
      <family val="2"/>
    </font>
    <font>
      <b/>
      <u/>
      <sz val="10"/>
      <name val="Arial"/>
      <family val="2"/>
    </font>
    <font>
      <u/>
      <sz val="10"/>
      <name val="Arial"/>
      <family val="2"/>
    </font>
    <font>
      <b/>
      <sz val="10"/>
      <color indexed="55"/>
      <name val="Arial"/>
      <family val="2"/>
    </font>
    <font>
      <b/>
      <u/>
      <sz val="9"/>
      <name val="Arial"/>
      <family val="2"/>
    </font>
    <font>
      <sz val="10"/>
      <color indexed="8"/>
      <name val="Arial"/>
      <family val="2"/>
    </font>
    <font>
      <b/>
      <sz val="8"/>
      <name val="Arial"/>
      <family val="2"/>
    </font>
    <font>
      <sz val="9"/>
      <color indexed="81"/>
      <name val="Tahoma"/>
      <family val="2"/>
    </font>
    <font>
      <b/>
      <sz val="9"/>
      <color indexed="81"/>
      <name val="Tahoma"/>
      <family val="2"/>
    </font>
    <font>
      <sz val="11"/>
      <color theme="1"/>
      <name val="Calibri"/>
      <family val="2"/>
      <scheme val="minor"/>
    </font>
    <font>
      <u/>
      <sz val="11"/>
      <color theme="10"/>
      <name val="Calibri"/>
      <family val="2"/>
    </font>
    <font>
      <b/>
      <sz val="11"/>
      <color theme="1"/>
      <name val="Calibri"/>
      <family val="2"/>
      <scheme val="minor"/>
    </font>
    <font>
      <sz val="12"/>
      <color theme="1"/>
      <name val="Calibri"/>
      <family val="2"/>
      <scheme val="minor"/>
    </font>
    <font>
      <sz val="12"/>
      <color rgb="FF000000"/>
      <name val="Arial"/>
      <family val="2"/>
    </font>
    <font>
      <b/>
      <sz val="10"/>
      <color theme="1"/>
      <name val="Arial"/>
      <family val="2"/>
    </font>
    <font>
      <sz val="9"/>
      <color theme="1"/>
      <name val="Arial"/>
      <family val="2"/>
      <charset val="1"/>
    </font>
    <font>
      <sz val="11"/>
      <color theme="0"/>
      <name val="Calibri"/>
      <family val="2"/>
      <scheme val="minor"/>
    </font>
    <font>
      <b/>
      <sz val="10"/>
      <color theme="0"/>
      <name val="Arial"/>
      <family val="2"/>
      <charset val="1"/>
    </font>
    <font>
      <b/>
      <u/>
      <sz val="14"/>
      <color theme="1"/>
      <name val="Calibri"/>
      <family val="2"/>
      <scheme val="minor"/>
    </font>
    <font>
      <sz val="12"/>
      <color rgb="FFFF0000"/>
      <name val="Arial"/>
      <family val="2"/>
      <charset val="1"/>
    </font>
    <font>
      <sz val="10"/>
      <color rgb="FFFF0000"/>
      <name val="Arial"/>
      <family val="2"/>
      <charset val="1"/>
    </font>
    <font>
      <sz val="9"/>
      <name val="Century Gothic"/>
      <family val="2"/>
    </font>
    <font>
      <sz val="10"/>
      <name val="Century Gothic"/>
      <family val="2"/>
    </font>
    <font>
      <b/>
      <sz val="10"/>
      <name val="Century Gothic"/>
      <family val="2"/>
    </font>
    <font>
      <u/>
      <sz val="10"/>
      <color indexed="12"/>
      <name val="Arial"/>
      <family val="2"/>
    </font>
    <font>
      <b/>
      <u/>
      <sz val="12"/>
      <color indexed="12"/>
      <name val="Arial"/>
      <family val="2"/>
    </font>
    <font>
      <b/>
      <sz val="9"/>
      <name val="Century Gothic"/>
      <family val="2"/>
    </font>
    <font>
      <b/>
      <u/>
      <sz val="10"/>
      <name val="Century Gothic"/>
      <family val="2"/>
    </font>
    <font>
      <sz val="14"/>
      <color theme="0"/>
      <name val="Calibri"/>
      <family val="2"/>
      <scheme val="minor"/>
    </font>
    <font>
      <b/>
      <u/>
      <sz val="28"/>
      <color rgb="FFFF0000"/>
      <name val="Calibri"/>
      <family val="2"/>
      <scheme val="minor"/>
    </font>
    <font>
      <b/>
      <sz val="18"/>
      <color indexed="9"/>
      <name val="Calibri"/>
      <family val="2"/>
    </font>
    <font>
      <sz val="14"/>
      <color indexed="9"/>
      <name val="Calibri"/>
      <family val="2"/>
    </font>
    <font>
      <b/>
      <u/>
      <sz val="20"/>
      <color rgb="FFFF0000"/>
      <name val="Calibri"/>
      <family val="2"/>
      <scheme val="minor"/>
    </font>
    <font>
      <u/>
      <sz val="10"/>
      <color theme="10"/>
      <name val="Arial"/>
      <family val="2"/>
    </font>
    <font>
      <b/>
      <u/>
      <sz val="36"/>
      <color theme="1"/>
      <name val="Calibri"/>
      <family val="2"/>
      <scheme val="minor"/>
    </font>
    <font>
      <b/>
      <sz val="9"/>
      <name val="Arial"/>
      <family val="2"/>
    </font>
    <font>
      <sz val="10"/>
      <color theme="0"/>
      <name val="Arial"/>
      <family val="2"/>
    </font>
    <font>
      <b/>
      <sz val="5.5"/>
      <name val="Arial"/>
      <family val="2"/>
    </font>
    <font>
      <b/>
      <sz val="12"/>
      <name val="Arial"/>
      <family val="2"/>
    </font>
    <font>
      <b/>
      <sz val="10"/>
      <color rgb="FFFF0000"/>
      <name val="Arial"/>
      <family val="2"/>
    </font>
    <font>
      <sz val="16"/>
      <color theme="0"/>
      <name val="Calibri"/>
      <family val="2"/>
      <scheme val="minor"/>
    </font>
    <font>
      <sz val="18"/>
      <color theme="0"/>
      <name val="Calibri"/>
      <family val="2"/>
      <scheme val="minor"/>
    </font>
    <font>
      <u/>
      <sz val="18"/>
      <color theme="10"/>
      <name val="Arial"/>
      <family val="2"/>
    </font>
    <font>
      <b/>
      <u/>
      <sz val="9"/>
      <color indexed="81"/>
      <name val="Tahoma"/>
      <family val="2"/>
    </font>
    <font>
      <sz val="10"/>
      <color theme="1"/>
      <name val="Arial"/>
      <family val="2"/>
      <charset val="1"/>
    </font>
    <font>
      <b/>
      <sz val="14"/>
      <color theme="0"/>
      <name val="Calibri"/>
      <family val="2"/>
      <scheme val="minor"/>
    </font>
    <font>
      <sz val="10"/>
      <color rgb="FFFF0000"/>
      <name val="Arial"/>
      <family val="2"/>
    </font>
    <font>
      <sz val="10"/>
      <name val="Arial"/>
      <family val="2"/>
    </font>
    <font>
      <b/>
      <sz val="11"/>
      <name val="Arial"/>
      <family val="2"/>
    </font>
    <font>
      <sz val="11"/>
      <name val="Arial"/>
      <family val="2"/>
    </font>
    <font>
      <b/>
      <u/>
      <sz val="9"/>
      <name val="Arial"/>
      <family val="2"/>
      <charset val="1"/>
    </font>
    <font>
      <b/>
      <sz val="10"/>
      <color rgb="FFFFFF00"/>
      <name val="Arial"/>
      <family val="2"/>
    </font>
    <font>
      <b/>
      <sz val="20"/>
      <color theme="0"/>
      <name val="Calibri"/>
      <family val="2"/>
      <scheme val="minor"/>
    </font>
  </fonts>
  <fills count="24">
    <fill>
      <patternFill patternType="none"/>
    </fill>
    <fill>
      <patternFill patternType="gray125"/>
    </fill>
    <fill>
      <patternFill patternType="solid">
        <fgColor indexed="9"/>
        <bgColor indexed="26"/>
      </patternFill>
    </fill>
    <fill>
      <patternFill patternType="solid">
        <fgColor indexed="43"/>
        <bgColor indexed="26"/>
      </patternFill>
    </fill>
    <fill>
      <patternFill patternType="solid">
        <fgColor indexed="13"/>
        <bgColor indexed="64"/>
      </patternFill>
    </fill>
    <fill>
      <patternFill patternType="solid">
        <fgColor indexed="43"/>
        <bgColor indexed="64"/>
      </patternFill>
    </fill>
    <fill>
      <patternFill patternType="solid">
        <fgColor indexed="51"/>
        <bgColor indexed="64"/>
      </patternFill>
    </fill>
    <fill>
      <patternFill patternType="solid">
        <fgColor indexed="60"/>
        <bgColor indexed="64"/>
      </patternFill>
    </fill>
    <fill>
      <patternFill patternType="solid">
        <fgColor theme="0"/>
        <bgColor indexed="26"/>
      </patternFill>
    </fill>
    <fill>
      <patternFill patternType="solid">
        <fgColor theme="0"/>
        <bgColor indexed="64"/>
      </patternFill>
    </fill>
    <fill>
      <patternFill patternType="solid">
        <fgColor rgb="FF92D050"/>
        <bgColor indexed="26"/>
      </patternFill>
    </fill>
    <fill>
      <patternFill patternType="solid">
        <fgColor rgb="FFFFFF99"/>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8" tint="0.79998168889431442"/>
        <bgColor theme="8" tint="0.79998168889431442"/>
      </patternFill>
    </fill>
    <fill>
      <patternFill patternType="solid">
        <fgColor theme="0" tint="-0.14999847407452621"/>
        <bgColor indexed="64"/>
      </patternFill>
    </fill>
    <fill>
      <patternFill patternType="solid">
        <fgColor theme="1"/>
        <bgColor indexed="64"/>
      </patternFill>
    </fill>
    <fill>
      <patternFill patternType="solid">
        <fgColor theme="7"/>
        <bgColor indexed="26"/>
      </patternFill>
    </fill>
    <fill>
      <patternFill patternType="solid">
        <fgColor theme="2"/>
        <bgColor indexed="26"/>
      </patternFill>
    </fill>
    <fill>
      <patternFill patternType="solid">
        <fgColor theme="4" tint="0.79998168889431442"/>
        <bgColor indexed="65"/>
      </patternFill>
    </fill>
    <fill>
      <patternFill patternType="solid">
        <fgColor theme="9" tint="0.79998168889431442"/>
        <bgColor indexed="65"/>
      </patternFill>
    </fill>
    <fill>
      <patternFill patternType="solid">
        <fgColor rgb="FFFFFF00"/>
        <bgColor indexed="26"/>
      </patternFill>
    </fill>
    <fill>
      <patternFill patternType="solid">
        <fgColor rgb="FFFF0000"/>
        <bgColor indexed="26"/>
      </patternFill>
    </fill>
    <fill>
      <patternFill patternType="solid">
        <fgColor theme="0" tint="-0.14999847407452621"/>
        <bgColor indexed="26"/>
      </patternFill>
    </fill>
  </fills>
  <borders count="126">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right style="thin">
        <color indexed="64"/>
      </right>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right style="thin">
        <color indexed="64"/>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8"/>
      </left>
      <right style="thin">
        <color indexed="8"/>
      </right>
      <top/>
      <bottom/>
      <diagonal/>
    </border>
    <border>
      <left style="medium">
        <color indexed="64"/>
      </left>
      <right style="medium">
        <color indexed="64"/>
      </right>
      <top/>
      <bottom style="medium">
        <color indexed="64"/>
      </bottom>
      <diagonal/>
    </border>
    <border>
      <left style="double">
        <color indexed="64"/>
      </left>
      <right style="double">
        <color indexed="64"/>
      </right>
      <top/>
      <bottom/>
      <diagonal/>
    </border>
    <border>
      <left style="thin">
        <color indexed="8"/>
      </left>
      <right/>
      <top/>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right style="medium">
        <color indexed="64"/>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top/>
      <bottom/>
      <diagonal/>
    </border>
    <border>
      <left style="thin">
        <color indexed="8"/>
      </left>
      <right/>
      <top/>
      <bottom style="thin">
        <color indexed="8"/>
      </bottom>
      <diagonal/>
    </border>
    <border>
      <left style="thin">
        <color indexed="64"/>
      </left>
      <right style="thin">
        <color indexed="64"/>
      </right>
      <top/>
      <bottom/>
      <diagonal/>
    </border>
    <border>
      <left/>
      <right/>
      <top/>
      <bottom style="thin">
        <color indexed="8"/>
      </bottom>
      <diagonal/>
    </border>
    <border>
      <left/>
      <right style="thin">
        <color indexed="8"/>
      </right>
      <top/>
      <bottom style="thin">
        <color indexed="8"/>
      </bottom>
      <diagonal/>
    </border>
    <border>
      <left/>
      <right style="thin">
        <color indexed="8"/>
      </right>
      <top/>
      <bottom/>
      <diagonal/>
    </border>
    <border>
      <left style="thin">
        <color theme="8" tint="0.39997558519241921"/>
      </left>
      <right style="thin">
        <color theme="8" tint="0.39997558519241921"/>
      </right>
      <top/>
      <bottom style="thin">
        <color theme="8" tint="0.39997558519241921"/>
      </bottom>
      <diagonal/>
    </border>
    <border>
      <left style="thin">
        <color theme="8" tint="0.39997558519241921"/>
      </left>
      <right style="thin">
        <color theme="8" tint="0.39997558519241921"/>
      </right>
      <top style="thin">
        <color theme="8" tint="0.39997558519241921"/>
      </top>
      <bottom style="thin">
        <color theme="8" tint="0.39997558519241921"/>
      </bottom>
      <diagonal/>
    </border>
    <border>
      <left style="thin">
        <color theme="1"/>
      </left>
      <right style="thin">
        <color theme="1"/>
      </right>
      <top style="thin">
        <color theme="1"/>
      </top>
      <bottom style="thin">
        <color theme="1"/>
      </bottom>
      <diagonal/>
    </border>
    <border>
      <left style="thin">
        <color theme="8" tint="0.39997558519241921"/>
      </left>
      <right/>
      <top style="thin">
        <color theme="8" tint="0.39997558519241921"/>
      </top>
      <bottom style="thin">
        <color theme="8" tint="0.39997558519241921"/>
      </bottom>
      <diagonal/>
    </border>
    <border>
      <left style="double">
        <color indexed="64"/>
      </left>
      <right style="double">
        <color indexed="64"/>
      </right>
      <top/>
      <bottom style="thin">
        <color theme="4" tint="0.39997558519241921"/>
      </bottom>
      <diagonal/>
    </border>
    <border>
      <left style="thin">
        <color theme="8" tint="0.39997558519241921"/>
      </left>
      <right style="thin">
        <color theme="8" tint="0.39997558519241921"/>
      </right>
      <top style="thin">
        <color theme="4" tint="0.39997558519241921"/>
      </top>
      <bottom style="thin">
        <color theme="8" tint="0.39997558519241921"/>
      </bottom>
      <diagonal/>
    </border>
    <border>
      <left style="thin">
        <color theme="8" tint="0.39997558519241921"/>
      </left>
      <right style="thin">
        <color theme="4" tint="0.39997558519241921"/>
      </right>
      <top style="thin">
        <color theme="8" tint="0.39997558519241921"/>
      </top>
      <bottom style="thin">
        <color theme="8" tint="0.39997558519241921"/>
      </bottom>
      <diagonal/>
    </border>
    <border>
      <left/>
      <right/>
      <top/>
      <bottom style="thin">
        <color theme="4" tint="0.3999755851924192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style="thin">
        <color theme="4" tint="0.39997558519241921"/>
      </left>
      <right/>
      <top/>
      <bottom style="thin">
        <color theme="4" tint="0.39997558519241921"/>
      </bottom>
      <diagonal/>
    </border>
    <border>
      <left style="thin">
        <color theme="1"/>
      </left>
      <right style="thin">
        <color theme="1"/>
      </right>
      <top/>
      <bottom/>
      <diagonal/>
    </border>
    <border>
      <left style="thin">
        <color theme="1"/>
      </left>
      <right/>
      <top style="thin">
        <color indexed="8"/>
      </top>
      <bottom/>
      <diagonal/>
    </border>
    <border>
      <left style="thin">
        <color theme="1"/>
      </left>
      <right/>
      <top/>
      <bottom/>
      <diagonal/>
    </border>
    <border>
      <left style="thin">
        <color theme="1"/>
      </left>
      <right/>
      <top/>
      <bottom style="thin">
        <color indexed="8"/>
      </bottom>
      <diagonal/>
    </border>
    <border>
      <left style="thin">
        <color theme="4" tint="0.39997558519241921"/>
      </left>
      <right/>
      <top style="thin">
        <color theme="4" tint="0.39997558519241921"/>
      </top>
      <bottom style="thin">
        <color theme="4" tint="0.3999755851924192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8"/>
      </bottom>
      <diagonal/>
    </border>
    <border>
      <left style="thin">
        <color indexed="8"/>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diagonal/>
    </border>
    <border>
      <left/>
      <right style="medium">
        <color indexed="64"/>
      </right>
      <top style="thin">
        <color indexed="8"/>
      </top>
      <bottom style="thin">
        <color indexed="8"/>
      </bottom>
      <diagonal/>
    </border>
    <border>
      <left style="medium">
        <color indexed="64"/>
      </left>
      <right style="thin">
        <color indexed="8"/>
      </right>
      <top/>
      <bottom/>
      <diagonal/>
    </border>
    <border>
      <left style="medium">
        <color indexed="64"/>
      </left>
      <right style="thin">
        <color indexed="8"/>
      </right>
      <top/>
      <bottom style="thin">
        <color indexed="8"/>
      </bottom>
      <diagonal/>
    </border>
    <border>
      <left/>
      <right style="medium">
        <color indexed="64"/>
      </right>
      <top style="thin">
        <color indexed="8"/>
      </top>
      <bottom/>
      <diagonal/>
    </border>
    <border>
      <left style="thin">
        <color indexed="8"/>
      </left>
      <right style="medium">
        <color indexed="64"/>
      </right>
      <top/>
      <bottom style="thin">
        <color indexed="8"/>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medium">
        <color indexed="64"/>
      </bottom>
      <diagonal/>
    </border>
    <border>
      <left style="medium">
        <color indexed="64"/>
      </left>
      <right style="thin">
        <color theme="1"/>
      </right>
      <top style="thin">
        <color theme="1"/>
      </top>
      <bottom style="medium">
        <color indexed="64"/>
      </bottom>
      <diagonal/>
    </border>
    <border>
      <left style="thin">
        <color theme="1"/>
      </left>
      <right/>
      <top style="thin">
        <color theme="1"/>
      </top>
      <bottom style="medium">
        <color indexed="64"/>
      </bottom>
      <diagonal/>
    </border>
    <border>
      <left/>
      <right/>
      <top style="thin">
        <color theme="1"/>
      </top>
      <bottom style="medium">
        <color indexed="64"/>
      </bottom>
      <diagonal/>
    </border>
    <border>
      <left/>
      <right style="thin">
        <color theme="1"/>
      </right>
      <top style="thin">
        <color theme="1"/>
      </top>
      <bottom style="medium">
        <color indexed="64"/>
      </bottom>
      <diagonal/>
    </border>
    <border>
      <left/>
      <right style="medium">
        <color indexed="64"/>
      </right>
      <top style="thin">
        <color indexed="8"/>
      </top>
      <bottom style="medium">
        <color indexed="64"/>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medium">
        <color indexed="64"/>
      </left>
      <right/>
      <top style="medium">
        <color indexed="64"/>
      </top>
      <bottom/>
      <diagonal/>
    </border>
    <border>
      <left style="thin">
        <color indexed="8"/>
      </left>
      <right/>
      <top style="medium">
        <color indexed="64"/>
      </top>
      <bottom/>
      <diagonal/>
    </border>
    <border>
      <left/>
      <right style="medium">
        <color indexed="64"/>
      </right>
      <top style="medium">
        <color indexed="64"/>
      </top>
      <bottom/>
      <diagonal/>
    </border>
    <border>
      <left style="medium">
        <color indexed="64"/>
      </left>
      <right/>
      <top style="thin">
        <color indexed="8"/>
      </top>
      <bottom style="thin">
        <color indexed="8"/>
      </bottom>
      <diagonal/>
    </border>
    <border>
      <left style="medium">
        <color indexed="64"/>
      </left>
      <right/>
      <top style="thin">
        <color indexed="64"/>
      </top>
      <bottom style="medium">
        <color indexed="64"/>
      </bottom>
      <diagonal/>
    </border>
    <border>
      <left/>
      <right style="double">
        <color indexed="64"/>
      </right>
      <top/>
      <bottom/>
      <diagonal/>
    </border>
    <border>
      <left/>
      <right/>
      <top style="medium">
        <color indexed="64"/>
      </top>
      <bottom/>
      <diagonal/>
    </border>
    <border>
      <left style="thin">
        <color indexed="64"/>
      </left>
      <right/>
      <top style="medium">
        <color indexed="64"/>
      </top>
      <bottom/>
      <diagonal/>
    </border>
  </borders>
  <cellStyleXfs count="45">
    <xf numFmtId="0" fontId="0" fillId="0" borderId="0"/>
    <xf numFmtId="165" fontId="33" fillId="0" borderId="0" applyFill="0" applyBorder="0" applyAlignment="0" applyProtection="0"/>
    <xf numFmtId="164" fontId="33" fillId="0" borderId="0" applyFill="0" applyBorder="0" applyAlignment="0" applyProtection="0"/>
    <xf numFmtId="164" fontId="33" fillId="0" borderId="0" applyFill="0" applyBorder="0" applyAlignment="0" applyProtection="0"/>
    <xf numFmtId="43" fontId="44" fillId="0" borderId="0" applyFont="0" applyFill="0" applyBorder="0" applyAlignment="0" applyProtection="0"/>
    <xf numFmtId="164" fontId="33" fillId="0" borderId="0" applyFill="0" applyBorder="0" applyAlignment="0" applyProtection="0"/>
    <xf numFmtId="170" fontId="33" fillId="0" borderId="0" applyFont="0" applyFill="0" applyBorder="0" applyAlignment="0" applyProtection="0"/>
    <xf numFmtId="170" fontId="33" fillId="0" borderId="0" applyFont="0" applyFill="0" applyBorder="0" applyAlignment="0" applyProtection="0"/>
    <xf numFmtId="165" fontId="33" fillId="0" borderId="0" applyFill="0" applyBorder="0" applyAlignment="0" applyProtection="0"/>
    <xf numFmtId="43" fontId="44"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0" fontId="74" fillId="0" borderId="0" applyNumberFormat="0" applyFill="0" applyBorder="0" applyAlignment="0" applyProtection="0">
      <alignment vertical="top"/>
      <protection locked="0"/>
    </xf>
    <xf numFmtId="0" fontId="9" fillId="0" borderId="0"/>
    <xf numFmtId="0" fontId="9" fillId="0" borderId="0"/>
    <xf numFmtId="0" fontId="9" fillId="0" borderId="0"/>
    <xf numFmtId="0" fontId="73" fillId="0" borderId="0"/>
    <xf numFmtId="0" fontId="73" fillId="0" borderId="0"/>
    <xf numFmtId="0" fontId="9" fillId="0" borderId="0"/>
    <xf numFmtId="0" fontId="9" fillId="0" borderId="0"/>
    <xf numFmtId="0" fontId="33" fillId="0" borderId="0"/>
    <xf numFmtId="0" fontId="9" fillId="0" borderId="0"/>
    <xf numFmtId="0" fontId="9" fillId="0" borderId="0"/>
    <xf numFmtId="0" fontId="73" fillId="0" borderId="0"/>
    <xf numFmtId="0" fontId="73" fillId="0" borderId="0"/>
    <xf numFmtId="0" fontId="73" fillId="0" borderId="0"/>
    <xf numFmtId="0" fontId="73" fillId="0" borderId="0"/>
    <xf numFmtId="0" fontId="73" fillId="0" borderId="0"/>
    <xf numFmtId="0" fontId="76" fillId="0" borderId="0"/>
    <xf numFmtId="9" fontId="33" fillId="0" borderId="0" applyFont="0" applyFill="0" applyBorder="0" applyAlignment="0" applyProtection="0"/>
    <xf numFmtId="9" fontId="44" fillId="0" borderId="0" applyFont="0" applyFill="0" applyBorder="0" applyAlignment="0" applyProtection="0"/>
    <xf numFmtId="9" fontId="33" fillId="0" borderId="0" applyFont="0" applyFill="0" applyBorder="0" applyAlignment="0" applyProtection="0"/>
    <xf numFmtId="9" fontId="73" fillId="0" borderId="0" applyFont="0" applyFill="0" applyBorder="0" applyAlignment="0" applyProtection="0"/>
    <xf numFmtId="0" fontId="10" fillId="0" borderId="1" applyFill="0" applyAlignment="0" applyProtection="0"/>
    <xf numFmtId="0" fontId="88" fillId="0" borderId="0" applyNumberFormat="0" applyFill="0" applyBorder="0" applyAlignment="0" applyProtection="0">
      <alignment vertical="top"/>
      <protection locked="0"/>
    </xf>
    <xf numFmtId="0" fontId="7" fillId="0" borderId="0"/>
    <xf numFmtId="0" fontId="97" fillId="0" borderId="0" applyNumberFormat="0" applyFill="0" applyBorder="0" applyAlignment="0" applyProtection="0">
      <alignment vertical="top"/>
      <protection locked="0"/>
    </xf>
    <xf numFmtId="0" fontId="6" fillId="19" borderId="0" applyNumberFormat="0" applyBorder="0" applyAlignment="0" applyProtection="0"/>
    <xf numFmtId="0" fontId="6" fillId="20" borderId="0" applyNumberFormat="0" applyBorder="0" applyAlignment="0" applyProtection="0"/>
    <xf numFmtId="0" fontId="111" fillId="0" borderId="0"/>
    <xf numFmtId="43" fontId="111" fillId="0" borderId="0" applyFont="0" applyFill="0" applyBorder="0" applyAlignment="0" applyProtection="0"/>
  </cellStyleXfs>
  <cellXfs count="1076">
    <xf numFmtId="0" fontId="0" fillId="0" borderId="0" xfId="0"/>
    <xf numFmtId="0" fontId="11" fillId="0" borderId="0" xfId="0" applyFont="1" applyAlignment="1" applyProtection="1">
      <alignment horizontal="center"/>
    </xf>
    <xf numFmtId="0" fontId="11" fillId="0" borderId="0" xfId="0" applyFont="1" applyAlignment="1" applyProtection="1"/>
    <xf numFmtId="0" fontId="12" fillId="0" borderId="2" xfId="0" applyFont="1" applyBorder="1" applyAlignment="1" applyProtection="1">
      <alignment horizontal="center" wrapText="1"/>
    </xf>
    <xf numFmtId="0" fontId="13" fillId="0" borderId="1" xfId="0" applyFont="1" applyBorder="1" applyAlignment="1" applyProtection="1">
      <alignment horizontal="center" wrapText="1"/>
    </xf>
    <xf numFmtId="0" fontId="14" fillId="0" borderId="1" xfId="17" applyFont="1" applyFill="1" applyBorder="1" applyAlignment="1" applyProtection="1">
      <alignment horizontal="center" wrapText="1"/>
    </xf>
    <xf numFmtId="0" fontId="11" fillId="0" borderId="0" xfId="0" applyFont="1" applyAlignment="1" applyProtection="1">
      <alignment wrapText="1"/>
    </xf>
    <xf numFmtId="0" fontId="9" fillId="2" borderId="0" xfId="17" applyFont="1" applyFill="1" applyBorder="1" applyAlignment="1" applyProtection="1"/>
    <xf numFmtId="0" fontId="9" fillId="2" borderId="0" xfId="17" applyFont="1" applyFill="1" applyBorder="1" applyAlignment="1" applyProtection="1">
      <alignment horizontal="center"/>
    </xf>
    <xf numFmtId="0" fontId="9" fillId="2" borderId="0" xfId="17" applyNumberFormat="1" applyFont="1" applyFill="1" applyBorder="1" applyAlignment="1" applyProtection="1"/>
    <xf numFmtId="0" fontId="15" fillId="2" borderId="1" xfId="17" applyFont="1" applyFill="1" applyBorder="1" applyAlignment="1" applyProtection="1">
      <alignment horizontal="center"/>
    </xf>
    <xf numFmtId="0" fontId="15" fillId="2" borderId="0" xfId="17" applyFont="1" applyFill="1" applyBorder="1" applyAlignment="1" applyProtection="1"/>
    <xf numFmtId="0" fontId="15" fillId="2" borderId="0" xfId="17" applyFont="1" applyFill="1" applyAlignment="1" applyProtection="1">
      <alignment horizontal="center"/>
    </xf>
    <xf numFmtId="167" fontId="19" fillId="0" borderId="1" xfId="1" applyNumberFormat="1" applyFont="1" applyFill="1" applyBorder="1" applyAlignment="1" applyProtection="1">
      <alignment horizontal="center" vertical="center" wrapText="1"/>
    </xf>
    <xf numFmtId="0" fontId="19" fillId="2" borderId="1" xfId="17" applyFont="1" applyFill="1" applyBorder="1" applyAlignment="1" applyProtection="1">
      <alignment horizontal="center" wrapText="1"/>
    </xf>
    <xf numFmtId="167" fontId="15" fillId="2" borderId="1" xfId="1" applyNumberFormat="1" applyFont="1" applyFill="1" applyBorder="1" applyAlignment="1" applyProtection="1"/>
    <xf numFmtId="0" fontId="15" fillId="2" borderId="1" xfId="17" applyNumberFormat="1" applyFont="1" applyFill="1" applyBorder="1" applyAlignment="1" applyProtection="1">
      <alignment horizontal="center"/>
    </xf>
    <xf numFmtId="167" fontId="9" fillId="3" borderId="1" xfId="1" applyNumberFormat="1" applyFont="1" applyFill="1" applyBorder="1" applyAlignment="1" applyProtection="1">
      <protection locked="0"/>
    </xf>
    <xf numFmtId="167" fontId="9" fillId="2" borderId="1" xfId="1" applyNumberFormat="1" applyFont="1" applyFill="1" applyBorder="1" applyAlignment="1" applyProtection="1"/>
    <xf numFmtId="49" fontId="15" fillId="2" borderId="1" xfId="17" applyNumberFormat="1" applyFont="1" applyFill="1" applyBorder="1" applyAlignment="1" applyProtection="1">
      <alignment horizontal="center"/>
    </xf>
    <xf numFmtId="167" fontId="15" fillId="3" borderId="1" xfId="1" applyNumberFormat="1" applyFont="1" applyFill="1" applyBorder="1" applyAlignment="1" applyProtection="1">
      <protection locked="0"/>
    </xf>
    <xf numFmtId="3" fontId="15" fillId="2" borderId="0" xfId="17" applyNumberFormat="1" applyFont="1" applyFill="1" applyBorder="1" applyAlignment="1" applyProtection="1">
      <alignment horizontal="center"/>
    </xf>
    <xf numFmtId="167" fontId="21" fillId="2" borderId="1" xfId="1" applyNumberFormat="1" applyFont="1" applyFill="1" applyBorder="1" applyAlignment="1" applyProtection="1"/>
    <xf numFmtId="0" fontId="15" fillId="2" borderId="3" xfId="17" applyNumberFormat="1" applyFont="1" applyFill="1" applyBorder="1" applyAlignment="1" applyProtection="1">
      <alignment horizontal="center"/>
    </xf>
    <xf numFmtId="167" fontId="9" fillId="3" borderId="1" xfId="1" applyNumberFormat="1" applyFont="1" applyFill="1" applyBorder="1" applyAlignment="1" applyProtection="1">
      <alignment horizontal="right"/>
      <protection locked="0"/>
    </xf>
    <xf numFmtId="0" fontId="9" fillId="0" borderId="0" xfId="17" applyFont="1" applyAlignment="1" applyProtection="1"/>
    <xf numFmtId="0" fontId="9" fillId="0" borderId="4" xfId="17" applyFont="1" applyFill="1" applyBorder="1" applyAlignment="1" applyProtection="1">
      <alignment horizontal="center"/>
    </xf>
    <xf numFmtId="0" fontId="9" fillId="0" borderId="0" xfId="17" applyFont="1" applyAlignment="1" applyProtection="1">
      <alignment horizontal="center"/>
    </xf>
    <xf numFmtId="49" fontId="15" fillId="0" borderId="0" xfId="17" applyNumberFormat="1" applyFont="1" applyAlignment="1" applyProtection="1">
      <alignment horizontal="center"/>
    </xf>
    <xf numFmtId="0" fontId="9" fillId="2" borderId="0" xfId="17" applyFont="1" applyFill="1" applyBorder="1" applyAlignment="1" applyProtection="1">
      <alignment wrapText="1"/>
    </xf>
    <xf numFmtId="0" fontId="15" fillId="2" borderId="1" xfId="17" applyNumberFormat="1" applyFont="1" applyFill="1" applyBorder="1" applyAlignment="1" applyProtection="1">
      <alignment horizontal="center" wrapText="1"/>
    </xf>
    <xf numFmtId="167" fontId="19" fillId="0" borderId="1" xfId="1" applyNumberFormat="1" applyFont="1" applyFill="1" applyBorder="1" applyAlignment="1" applyProtection="1">
      <alignment horizontal="center" wrapText="1"/>
    </xf>
    <xf numFmtId="3" fontId="19" fillId="2" borderId="1" xfId="17" applyNumberFormat="1" applyFont="1" applyFill="1" applyBorder="1" applyAlignment="1" applyProtection="1">
      <alignment horizontal="center" wrapText="1"/>
    </xf>
    <xf numFmtId="167" fontId="9" fillId="3" borderId="1" xfId="8" applyNumberFormat="1" applyFont="1" applyFill="1" applyBorder="1" applyAlignment="1" applyProtection="1">
      <protection locked="0"/>
    </xf>
    <xf numFmtId="167" fontId="15" fillId="3" borderId="1" xfId="8" applyNumberFormat="1" applyFont="1" applyFill="1" applyBorder="1" applyAlignment="1" applyProtection="1">
      <protection locked="0"/>
    </xf>
    <xf numFmtId="167" fontId="15" fillId="0" borderId="1" xfId="1" applyNumberFormat="1" applyFont="1" applyFill="1" applyBorder="1" applyAlignment="1" applyProtection="1"/>
    <xf numFmtId="167" fontId="9" fillId="0" borderId="1" xfId="1" applyNumberFormat="1" applyFont="1" applyFill="1" applyBorder="1" applyAlignment="1" applyProtection="1"/>
    <xf numFmtId="167" fontId="9" fillId="3" borderId="1" xfId="8" applyNumberFormat="1" applyFont="1" applyFill="1" applyBorder="1" applyAlignment="1" applyProtection="1">
      <alignment horizontal="right"/>
      <protection locked="0"/>
    </xf>
    <xf numFmtId="0" fontId="9" fillId="2" borderId="4" xfId="17" applyFont="1" applyFill="1" applyBorder="1" applyAlignment="1" applyProtection="1">
      <alignment horizontal="center"/>
    </xf>
    <xf numFmtId="0" fontId="9" fillId="0" borderId="0" xfId="17" applyFont="1" applyBorder="1" applyAlignment="1" applyProtection="1"/>
    <xf numFmtId="0" fontId="9" fillId="0" borderId="0" xfId="17" applyFont="1" applyBorder="1" applyAlignment="1" applyProtection="1">
      <alignment horizontal="center"/>
    </xf>
    <xf numFmtId="0" fontId="9" fillId="0" borderId="0" xfId="17" applyFont="1" applyBorder="1" applyAlignment="1" applyProtection="1">
      <alignment wrapText="1"/>
    </xf>
    <xf numFmtId="0" fontId="15" fillId="0" borderId="0" xfId="17" applyFont="1" applyBorder="1" applyAlignment="1" applyProtection="1">
      <alignment horizontal="center"/>
    </xf>
    <xf numFmtId="0" fontId="15" fillId="2" borderId="1" xfId="17" applyFont="1" applyFill="1" applyBorder="1" applyAlignment="1" applyProtection="1">
      <alignment horizontal="center" vertical="center"/>
    </xf>
    <xf numFmtId="0" fontId="15" fillId="0" borderId="1" xfId="17" applyFont="1" applyFill="1" applyBorder="1" applyAlignment="1" applyProtection="1">
      <alignment horizontal="center" vertical="center"/>
    </xf>
    <xf numFmtId="2" fontId="15" fillId="0" borderId="0" xfId="17" applyNumberFormat="1" applyFont="1" applyAlignment="1" applyProtection="1">
      <alignment horizontal="center"/>
    </xf>
    <xf numFmtId="0" fontId="9" fillId="0" borderId="0" xfId="17" applyFont="1" applyFill="1" applyAlignment="1" applyProtection="1"/>
    <xf numFmtId="2" fontId="15" fillId="0" borderId="1" xfId="17" applyNumberFormat="1" applyFont="1" applyBorder="1" applyAlignment="1" applyProtection="1">
      <alignment horizontal="center"/>
    </xf>
    <xf numFmtId="0" fontId="15" fillId="0" borderId="0" xfId="17" applyFont="1" applyAlignment="1" applyProtection="1">
      <alignment horizontal="center"/>
    </xf>
    <xf numFmtId="49" fontId="15" fillId="0" borderId="1" xfId="17" applyNumberFormat="1" applyFont="1" applyFill="1" applyBorder="1" applyAlignment="1" applyProtection="1">
      <alignment horizontal="center"/>
    </xf>
    <xf numFmtId="2" fontId="15" fillId="2" borderId="1" xfId="1" applyNumberFormat="1" applyFont="1" applyFill="1" applyBorder="1" applyAlignment="1" applyProtection="1">
      <alignment horizontal="center" wrapText="1"/>
    </xf>
    <xf numFmtId="0" fontId="9" fillId="0" borderId="1" xfId="17" applyFont="1" applyBorder="1" applyAlignment="1" applyProtection="1">
      <alignment horizontal="center"/>
    </xf>
    <xf numFmtId="0" fontId="9" fillId="2" borderId="0" xfId="17" applyFont="1" applyFill="1" applyAlignment="1" applyProtection="1"/>
    <xf numFmtId="49" fontId="15" fillId="0" borderId="1" xfId="17" applyNumberFormat="1" applyFont="1" applyFill="1" applyBorder="1" applyAlignment="1" applyProtection="1">
      <alignment horizontal="center" wrapText="1"/>
    </xf>
    <xf numFmtId="167" fontId="15" fillId="0" borderId="1" xfId="1" applyNumberFormat="1" applyFont="1" applyFill="1" applyBorder="1" applyAlignment="1" applyProtection="1">
      <alignment horizontal="center" wrapText="1"/>
    </xf>
    <xf numFmtId="0" fontId="9" fillId="0" borderId="0" xfId="17" applyNumberFormat="1" applyFont="1" applyFill="1" applyAlignment="1" applyProtection="1"/>
    <xf numFmtId="0" fontId="9" fillId="2" borderId="0" xfId="22" applyFont="1" applyFill="1" applyAlignment="1" applyProtection="1">
      <alignment horizontal="center"/>
    </xf>
    <xf numFmtId="0" fontId="9" fillId="2" borderId="0" xfId="22" applyFont="1" applyFill="1" applyAlignment="1" applyProtection="1">
      <alignment wrapText="1"/>
    </xf>
    <xf numFmtId="49" fontId="15" fillId="2" borderId="0" xfId="22" applyNumberFormat="1" applyFont="1" applyFill="1" applyAlignment="1" applyProtection="1">
      <alignment horizontal="center"/>
    </xf>
    <xf numFmtId="167" fontId="9" fillId="2" borderId="0" xfId="1" applyNumberFormat="1" applyFont="1" applyFill="1" applyBorder="1" applyAlignment="1" applyProtection="1">
      <alignment horizontal="right"/>
    </xf>
    <xf numFmtId="0" fontId="9" fillId="2" borderId="0" xfId="22" applyFont="1" applyFill="1" applyAlignment="1" applyProtection="1"/>
    <xf numFmtId="0" fontId="15" fillId="2" borderId="1" xfId="22" applyFont="1" applyFill="1" applyBorder="1" applyAlignment="1" applyProtection="1"/>
    <xf numFmtId="0" fontId="15" fillId="2" borderId="0" xfId="22" applyFont="1" applyFill="1" applyAlignment="1" applyProtection="1">
      <alignment horizontal="center"/>
    </xf>
    <xf numFmtId="166" fontId="15" fillId="0" borderId="1" xfId="1" applyNumberFormat="1" applyFont="1" applyFill="1" applyBorder="1" applyAlignment="1" applyProtection="1">
      <alignment horizontal="center"/>
    </xf>
    <xf numFmtId="0" fontId="9" fillId="2" borderId="1" xfId="22" applyFont="1" applyFill="1" applyBorder="1" applyAlignment="1" applyProtection="1">
      <alignment horizontal="center"/>
    </xf>
    <xf numFmtId="0" fontId="19" fillId="2" borderId="1" xfId="22" applyFont="1" applyFill="1" applyBorder="1" applyAlignment="1" applyProtection="1">
      <alignment horizontal="center"/>
    </xf>
    <xf numFmtId="0" fontId="19" fillId="2" borderId="1" xfId="22" applyFont="1" applyFill="1" applyBorder="1" applyAlignment="1" applyProtection="1">
      <alignment horizontal="center" wrapText="1"/>
    </xf>
    <xf numFmtId="49" fontId="15" fillId="2" borderId="1" xfId="22" applyNumberFormat="1" applyFont="1" applyFill="1" applyBorder="1" applyAlignment="1" applyProtection="1">
      <alignment horizontal="center"/>
    </xf>
    <xf numFmtId="0" fontId="15" fillId="2" borderId="1" xfId="22" applyFont="1" applyFill="1" applyBorder="1" applyAlignment="1" applyProtection="1">
      <alignment horizontal="center"/>
    </xf>
    <xf numFmtId="0" fontId="15" fillId="2" borderId="1" xfId="22" applyFont="1" applyFill="1" applyBorder="1" applyAlignment="1" applyProtection="1">
      <alignment horizontal="center" wrapText="1"/>
    </xf>
    <xf numFmtId="0" fontId="9" fillId="2" borderId="0" xfId="22" applyNumberFormat="1" applyFont="1" applyFill="1" applyBorder="1" applyAlignment="1" applyProtection="1"/>
    <xf numFmtId="0" fontId="9" fillId="2" borderId="1" xfId="22" applyNumberFormat="1" applyFont="1" applyFill="1" applyBorder="1" applyAlignment="1" applyProtection="1">
      <alignment horizontal="left" wrapText="1" indent="1"/>
    </xf>
    <xf numFmtId="0" fontId="15" fillId="2" borderId="1" xfId="22" applyNumberFormat="1" applyFont="1" applyFill="1" applyBorder="1" applyAlignment="1" applyProtection="1">
      <alignment horizontal="center"/>
    </xf>
    <xf numFmtId="0" fontId="9" fillId="2" borderId="1" xfId="22" applyFont="1" applyFill="1" applyBorder="1" applyAlignment="1" applyProtection="1">
      <alignment horizontal="left" wrapText="1" indent="1"/>
    </xf>
    <xf numFmtId="0" fontId="22" fillId="2" borderId="1" xfId="22" applyFont="1" applyFill="1" applyBorder="1" applyAlignment="1" applyProtection="1">
      <alignment horizontal="left" wrapText="1" indent="1"/>
    </xf>
    <xf numFmtId="0" fontId="9" fillId="2" borderId="0" xfId="22" applyNumberFormat="1" applyFont="1" applyFill="1" applyAlignment="1" applyProtection="1"/>
    <xf numFmtId="0" fontId="9" fillId="0" borderId="0" xfId="22" applyFont="1" applyAlignment="1" applyProtection="1"/>
    <xf numFmtId="167" fontId="9" fillId="2" borderId="1" xfId="1" applyNumberFormat="1" applyFont="1" applyFill="1" applyBorder="1" applyAlignment="1" applyProtection="1">
      <alignment horizontal="right"/>
    </xf>
    <xf numFmtId="1" fontId="15" fillId="0" borderId="1" xfId="3" applyNumberFormat="1" applyFont="1" applyFill="1" applyBorder="1" applyAlignment="1" applyProtection="1">
      <alignment horizontal="center"/>
    </xf>
    <xf numFmtId="1" fontId="15" fillId="0" borderId="1" xfId="17" applyNumberFormat="1" applyFont="1" applyFill="1" applyBorder="1" applyAlignment="1" applyProtection="1">
      <alignment horizontal="center" wrapText="1"/>
    </xf>
    <xf numFmtId="0" fontId="15" fillId="2" borderId="1" xfId="23" applyFont="1" applyFill="1" applyBorder="1" applyAlignment="1" applyProtection="1">
      <alignment wrapText="1"/>
    </xf>
    <xf numFmtId="49" fontId="15" fillId="2" borderId="1" xfId="23" applyNumberFormat="1" applyFont="1" applyFill="1" applyBorder="1" applyAlignment="1" applyProtection="1">
      <alignment horizontal="center"/>
    </xf>
    <xf numFmtId="0" fontId="9" fillId="2" borderId="1" xfId="23" applyFont="1" applyFill="1" applyBorder="1" applyAlignment="1" applyProtection="1">
      <alignment wrapText="1"/>
    </xf>
    <xf numFmtId="0" fontId="15" fillId="2" borderId="1" xfId="23" applyNumberFormat="1" applyFont="1" applyFill="1" applyBorder="1" applyAlignment="1" applyProtection="1">
      <alignment horizontal="center"/>
    </xf>
    <xf numFmtId="0" fontId="9" fillId="2" borderId="0" xfId="22" applyNumberFormat="1" applyFont="1" applyFill="1" applyAlignment="1" applyProtection="1">
      <alignment wrapText="1"/>
    </xf>
    <xf numFmtId="0" fontId="9" fillId="2" borderId="0" xfId="17" applyFont="1" applyFill="1" applyAlignment="1" applyProtection="1">
      <alignment horizontal="center"/>
    </xf>
    <xf numFmtId="0" fontId="9" fillId="2" borderId="0" xfId="17" applyFont="1" applyFill="1" applyAlignment="1" applyProtection="1">
      <alignment horizontal="left"/>
    </xf>
    <xf numFmtId="0" fontId="9" fillId="0" borderId="0" xfId="17" applyFont="1" applyFill="1" applyBorder="1" applyAlignment="1" applyProtection="1"/>
    <xf numFmtId="0" fontId="9" fillId="0" borderId="0" xfId="17" applyFont="1" applyFill="1" applyBorder="1" applyAlignment="1" applyProtection="1">
      <alignment horizontal="center"/>
    </xf>
    <xf numFmtId="0" fontId="9" fillId="0" borderId="0" xfId="17" applyFont="1" applyFill="1" applyBorder="1" applyAlignment="1" applyProtection="1">
      <alignment horizontal="left" wrapText="1"/>
    </xf>
    <xf numFmtId="1" fontId="15" fillId="0" borderId="0" xfId="17" applyNumberFormat="1" applyFont="1" applyFill="1" applyBorder="1" applyAlignment="1" applyProtection="1">
      <alignment horizontal="center"/>
    </xf>
    <xf numFmtId="1" fontId="9" fillId="0" borderId="0" xfId="17" applyNumberFormat="1" applyFont="1" applyFill="1" applyBorder="1" applyAlignment="1" applyProtection="1">
      <alignment horizontal="center"/>
    </xf>
    <xf numFmtId="0" fontId="15" fillId="0" borderId="1" xfId="17" applyFont="1" applyFill="1" applyBorder="1" applyAlignment="1" applyProtection="1">
      <alignment horizontal="center" textRotation="90" wrapText="1"/>
    </xf>
    <xf numFmtId="0" fontId="15" fillId="0" borderId="1" xfId="17" applyFont="1" applyFill="1" applyBorder="1" applyAlignment="1" applyProtection="1">
      <alignment horizontal="center" wrapText="1"/>
    </xf>
    <xf numFmtId="0" fontId="15" fillId="0" borderId="1" xfId="17" applyFont="1" applyFill="1" applyBorder="1" applyAlignment="1" applyProtection="1">
      <alignment horizontal="center" wrapText="1" shrinkToFit="1"/>
    </xf>
    <xf numFmtId="3" fontId="15" fillId="0" borderId="1" xfId="17" applyNumberFormat="1" applyFont="1" applyFill="1" applyBorder="1" applyAlignment="1" applyProtection="1">
      <alignment horizontal="center" wrapText="1"/>
    </xf>
    <xf numFmtId="3" fontId="28" fillId="0" borderId="1" xfId="17" applyNumberFormat="1" applyFont="1" applyFill="1" applyBorder="1" applyAlignment="1" applyProtection="1">
      <alignment horizontal="center" wrapText="1"/>
    </xf>
    <xf numFmtId="0" fontId="9" fillId="2" borderId="0" xfId="17" applyFont="1" applyFill="1" applyBorder="1" applyAlignment="1" applyProtection="1">
      <alignment horizontal="center" wrapText="1"/>
    </xf>
    <xf numFmtId="0" fontId="9" fillId="0" borderId="0" xfId="17" applyFont="1" applyFill="1" applyBorder="1" applyAlignment="1" applyProtection="1">
      <alignment horizontal="center" wrapText="1"/>
    </xf>
    <xf numFmtId="0" fontId="9" fillId="0" borderId="1" xfId="17" applyNumberFormat="1" applyFont="1" applyFill="1" applyBorder="1" applyAlignment="1" applyProtection="1">
      <alignment horizontal="center"/>
    </xf>
    <xf numFmtId="9" fontId="9" fillId="3" borderId="1" xfId="3" applyNumberFormat="1" applyFont="1" applyFill="1" applyBorder="1" applyAlignment="1" applyProtection="1">
      <alignment horizontal="center"/>
      <protection locked="0"/>
    </xf>
    <xf numFmtId="9" fontId="9" fillId="2" borderId="1" xfId="3" applyNumberFormat="1" applyFont="1" applyFill="1" applyBorder="1" applyAlignment="1" applyProtection="1">
      <alignment horizontal="center"/>
    </xf>
    <xf numFmtId="9" fontId="9" fillId="0" borderId="1" xfId="3" applyNumberFormat="1" applyFont="1" applyFill="1" applyBorder="1" applyAlignment="1" applyProtection="1">
      <alignment horizontal="center"/>
    </xf>
    <xf numFmtId="9" fontId="9" fillId="0" borderId="1" xfId="3" applyNumberFormat="1" applyFont="1" applyFill="1" applyBorder="1" applyAlignment="1" applyProtection="1">
      <alignment horizontal="center" wrapText="1"/>
    </xf>
    <xf numFmtId="0" fontId="9" fillId="0" borderId="0" xfId="17" applyFont="1" applyFill="1" applyBorder="1" applyAlignment="1" applyProtection="1">
      <alignment wrapText="1"/>
    </xf>
    <xf numFmtId="0" fontId="15" fillId="0" borderId="0" xfId="17" applyFont="1" applyFill="1" applyBorder="1" applyAlignment="1" applyProtection="1"/>
    <xf numFmtId="0" fontId="15" fillId="0" borderId="1" xfId="17" applyFont="1" applyFill="1" applyBorder="1" applyAlignment="1" applyProtection="1">
      <alignment horizontal="left" wrapText="1" shrinkToFit="1"/>
    </xf>
    <xf numFmtId="1" fontId="15" fillId="0" borderId="1" xfId="3" applyNumberFormat="1" applyFont="1" applyFill="1" applyBorder="1" applyAlignment="1" applyProtection="1">
      <alignment horizontal="center" wrapText="1"/>
    </xf>
    <xf numFmtId="167" fontId="15" fillId="0" borderId="1" xfId="3" applyNumberFormat="1" applyFont="1" applyFill="1" applyBorder="1" applyAlignment="1" applyProtection="1">
      <alignment horizontal="center" wrapText="1"/>
    </xf>
    <xf numFmtId="167" fontId="9" fillId="3" borderId="1" xfId="3" applyNumberFormat="1" applyFont="1" applyFill="1" applyBorder="1" applyAlignment="1" applyProtection="1">
      <protection locked="0"/>
    </xf>
    <xf numFmtId="1" fontId="15" fillId="2" borderId="1" xfId="3" applyNumberFormat="1" applyFont="1" applyFill="1" applyBorder="1" applyAlignment="1" applyProtection="1">
      <alignment horizontal="center"/>
    </xf>
    <xf numFmtId="49" fontId="9" fillId="2" borderId="1" xfId="17" applyNumberFormat="1" applyFont="1" applyFill="1" applyBorder="1" applyAlignment="1" applyProtection="1">
      <alignment horizontal="left"/>
    </xf>
    <xf numFmtId="168" fontId="9" fillId="2" borderId="7" xfId="23" applyNumberFormat="1" applyFont="1" applyFill="1" applyBorder="1" applyAlignment="1" applyProtection="1"/>
    <xf numFmtId="0" fontId="9" fillId="0" borderId="0" xfId="18" applyFont="1" applyAlignment="1" applyProtection="1"/>
    <xf numFmtId="0" fontId="9" fillId="2" borderId="0" xfId="18" applyFont="1" applyFill="1" applyBorder="1" applyAlignment="1" applyProtection="1"/>
    <xf numFmtId="0" fontId="9" fillId="2" borderId="0" xfId="18" applyNumberFormat="1" applyFont="1" applyFill="1" applyBorder="1" applyAlignment="1" applyProtection="1"/>
    <xf numFmtId="0" fontId="15" fillId="2" borderId="0" xfId="18" applyFont="1" applyFill="1" applyBorder="1" applyAlignment="1" applyProtection="1"/>
    <xf numFmtId="1" fontId="9" fillId="2" borderId="0" xfId="18" applyNumberFormat="1" applyFont="1" applyFill="1" applyBorder="1" applyAlignment="1" applyProtection="1"/>
    <xf numFmtId="0" fontId="15" fillId="2" borderId="0" xfId="18" applyFont="1" applyFill="1" applyAlignment="1" applyProtection="1">
      <alignment horizontal="center"/>
    </xf>
    <xf numFmtId="0" fontId="15" fillId="0" borderId="1" xfId="18" applyFont="1" applyFill="1" applyBorder="1" applyAlignment="1" applyProtection="1">
      <alignment horizontal="center"/>
    </xf>
    <xf numFmtId="0" fontId="15" fillId="0" borderId="1" xfId="18" applyNumberFormat="1" applyFont="1" applyFill="1" applyBorder="1" applyAlignment="1" applyProtection="1">
      <alignment horizontal="center"/>
    </xf>
    <xf numFmtId="0" fontId="9" fillId="2" borderId="0" xfId="18" applyFont="1" applyFill="1" applyAlignment="1" applyProtection="1">
      <alignment horizontal="center" wrapText="1"/>
    </xf>
    <xf numFmtId="0" fontId="9" fillId="0" borderId="1" xfId="18" applyFont="1" applyFill="1" applyBorder="1" applyAlignment="1" applyProtection="1">
      <alignment horizontal="center"/>
    </xf>
    <xf numFmtId="3" fontId="9" fillId="2" borderId="0" xfId="18" applyNumberFormat="1" applyFont="1" applyFill="1" applyBorder="1" applyAlignment="1" applyProtection="1"/>
    <xf numFmtId="0" fontId="15" fillId="2" borderId="3" xfId="18" applyNumberFormat="1" applyFont="1" applyFill="1" applyBorder="1" applyAlignment="1" applyProtection="1">
      <alignment horizontal="center"/>
    </xf>
    <xf numFmtId="0" fontId="9" fillId="0" borderId="1" xfId="18" applyNumberFormat="1" applyFont="1" applyFill="1" applyBorder="1" applyAlignment="1" applyProtection="1">
      <alignment horizontal="center"/>
    </xf>
    <xf numFmtId="0" fontId="9" fillId="2" borderId="0" xfId="18" applyFont="1" applyFill="1" applyBorder="1" applyAlignment="1" applyProtection="1">
      <alignment horizontal="center"/>
    </xf>
    <xf numFmtId="3" fontId="9" fillId="2" borderId="0" xfId="18" applyNumberFormat="1" applyFont="1" applyFill="1" applyBorder="1" applyAlignment="1" applyProtection="1">
      <alignment horizontal="center"/>
    </xf>
    <xf numFmtId="0" fontId="9" fillId="2" borderId="0" xfId="18" applyNumberFormat="1" applyFont="1" applyFill="1" applyBorder="1" applyAlignment="1" applyProtection="1">
      <alignment horizontal="center"/>
    </xf>
    <xf numFmtId="0" fontId="15" fillId="3" borderId="1" xfId="18" applyFont="1" applyFill="1" applyBorder="1" applyAlignment="1" applyProtection="1">
      <protection locked="0"/>
    </xf>
    <xf numFmtId="0" fontId="9" fillId="2" borderId="0" xfId="18" applyFont="1" applyFill="1" applyAlignment="1" applyProtection="1"/>
    <xf numFmtId="0" fontId="9" fillId="2" borderId="0" xfId="18" applyFont="1" applyFill="1" applyBorder="1" applyAlignment="1" applyProtection="1">
      <alignment horizontal="left"/>
    </xf>
    <xf numFmtId="10" fontId="9" fillId="2" borderId="0" xfId="18" applyNumberFormat="1" applyFont="1" applyFill="1" applyBorder="1" applyAlignment="1" applyProtection="1"/>
    <xf numFmtId="0" fontId="9" fillId="2" borderId="0" xfId="18" applyFont="1" applyFill="1" applyBorder="1" applyAlignment="1" applyProtection="1">
      <alignment shrinkToFit="1"/>
    </xf>
    <xf numFmtId="49" fontId="9" fillId="0" borderId="0" xfId="17" applyNumberFormat="1" applyFont="1" applyFill="1" applyBorder="1" applyAlignment="1" applyProtection="1">
      <alignment horizontal="center"/>
    </xf>
    <xf numFmtId="0" fontId="15" fillId="0" borderId="0" xfId="17" applyFont="1" applyFill="1" applyBorder="1" applyAlignment="1" applyProtection="1">
      <alignment horizontal="center"/>
    </xf>
    <xf numFmtId="49" fontId="30" fillId="0" borderId="1" xfId="5" applyNumberFormat="1" applyFont="1" applyFill="1" applyBorder="1" applyAlignment="1" applyProtection="1">
      <alignment horizontal="center"/>
    </xf>
    <xf numFmtId="0" fontId="30" fillId="0" borderId="0" xfId="17" applyFont="1" applyFill="1" applyBorder="1" applyAlignment="1" applyProtection="1">
      <alignment horizontal="center"/>
    </xf>
    <xf numFmtId="49" fontId="9" fillId="0" borderId="1" xfId="5" applyNumberFormat="1" applyFont="1" applyFill="1" applyBorder="1" applyAlignment="1" applyProtection="1">
      <alignment horizontal="center"/>
    </xf>
    <xf numFmtId="0" fontId="15" fillId="3" borderId="1" xfId="17" applyFont="1" applyFill="1" applyBorder="1" applyAlignment="1" applyProtection="1">
      <protection locked="0"/>
    </xf>
    <xf numFmtId="0" fontId="30" fillId="0" borderId="0" xfId="17" applyFont="1" applyFill="1" applyBorder="1" applyAlignment="1" applyProtection="1"/>
    <xf numFmtId="9" fontId="30" fillId="0" borderId="1" xfId="5" applyNumberFormat="1" applyFont="1" applyFill="1" applyBorder="1" applyAlignment="1" applyProtection="1">
      <alignment horizontal="center" wrapText="1"/>
    </xf>
    <xf numFmtId="0" fontId="9" fillId="0" borderId="0" xfId="17" applyFont="1" applyFill="1" applyBorder="1" applyAlignment="1" applyProtection="1">
      <alignment horizontal="left"/>
    </xf>
    <xf numFmtId="167" fontId="30" fillId="0" borderId="8" xfId="5" applyNumberFormat="1" applyFont="1" applyFill="1" applyBorder="1" applyAlignment="1" applyProtection="1">
      <alignment horizontal="center" wrapText="1"/>
    </xf>
    <xf numFmtId="49" fontId="9" fillId="2" borderId="1" xfId="17" applyNumberFormat="1" applyFont="1" applyFill="1" applyBorder="1" applyAlignment="1" applyProtection="1">
      <alignment horizontal="left" indent="1"/>
    </xf>
    <xf numFmtId="0" fontId="9" fillId="0" borderId="1" xfId="17" applyFont="1" applyFill="1" applyBorder="1" applyAlignment="1" applyProtection="1">
      <alignment wrapText="1"/>
    </xf>
    <xf numFmtId="0" fontId="30" fillId="0" borderId="8" xfId="17" applyFont="1" applyFill="1" applyBorder="1" applyAlignment="1" applyProtection="1">
      <alignment horizontal="center"/>
    </xf>
    <xf numFmtId="0" fontId="15" fillId="0" borderId="8" xfId="17" applyFont="1" applyFill="1" applyBorder="1" applyAlignment="1" applyProtection="1">
      <alignment horizontal="center" wrapText="1"/>
    </xf>
    <xf numFmtId="49" fontId="9" fillId="0" borderId="1" xfId="17" applyNumberFormat="1" applyFont="1" applyFill="1" applyBorder="1" applyAlignment="1" applyProtection="1">
      <alignment horizontal="center"/>
    </xf>
    <xf numFmtId="49" fontId="9" fillId="0" borderId="2" xfId="5" applyNumberFormat="1" applyFont="1" applyFill="1" applyBorder="1" applyAlignment="1" applyProtection="1">
      <alignment horizontal="center"/>
    </xf>
    <xf numFmtId="0" fontId="15" fillId="0" borderId="1" xfId="22" applyNumberFormat="1" applyFont="1" applyFill="1" applyBorder="1" applyAlignment="1" applyProtection="1">
      <alignment wrapText="1"/>
    </xf>
    <xf numFmtId="0" fontId="15" fillId="0" borderId="1" xfId="22" applyFont="1" applyFill="1" applyBorder="1" applyAlignment="1" applyProtection="1">
      <alignment horizontal="left" wrapText="1"/>
    </xf>
    <xf numFmtId="0" fontId="9" fillId="0" borderId="1" xfId="22" applyFont="1" applyFill="1" applyBorder="1" applyAlignment="1" applyProtection="1">
      <alignment wrapText="1"/>
    </xf>
    <xf numFmtId="0" fontId="15" fillId="0" borderId="1" xfId="17" applyFont="1" applyFill="1" applyBorder="1" applyAlignment="1" applyProtection="1"/>
    <xf numFmtId="0" fontId="15" fillId="0" borderId="1" xfId="17" applyFont="1" applyFill="1" applyBorder="1" applyAlignment="1" applyProtection="1">
      <alignment wrapText="1"/>
    </xf>
    <xf numFmtId="0" fontId="18" fillId="8" borderId="0" xfId="17" applyFont="1" applyFill="1" applyBorder="1" applyAlignment="1" applyProtection="1"/>
    <xf numFmtId="0" fontId="15" fillId="8" borderId="0" xfId="17" applyFont="1" applyFill="1" applyBorder="1" applyAlignment="1" applyProtection="1"/>
    <xf numFmtId="0" fontId="9" fillId="8" borderId="0" xfId="17" applyNumberFormat="1" applyFont="1" applyFill="1" applyBorder="1" applyAlignment="1" applyProtection="1"/>
    <xf numFmtId="0" fontId="23" fillId="8" borderId="0" xfId="17" applyNumberFormat="1" applyFont="1" applyFill="1" applyBorder="1" applyAlignment="1" applyProtection="1"/>
    <xf numFmtId="0" fontId="23" fillId="8" borderId="0" xfId="17" applyFont="1" applyFill="1" applyBorder="1" applyAlignment="1" applyProtection="1"/>
    <xf numFmtId="1" fontId="23" fillId="8" borderId="0" xfId="17" applyNumberFormat="1" applyFont="1" applyFill="1" applyBorder="1" applyAlignment="1" applyProtection="1"/>
    <xf numFmtId="0" fontId="18" fillId="8" borderId="0" xfId="17" applyFont="1" applyFill="1" applyAlignment="1" applyProtection="1">
      <alignment horizontal="center"/>
    </xf>
    <xf numFmtId="0" fontId="24" fillId="8" borderId="0" xfId="17" applyFont="1" applyFill="1" applyAlignment="1" applyProtection="1">
      <alignment horizontal="center"/>
    </xf>
    <xf numFmtId="0" fontId="15" fillId="8" borderId="0" xfId="17" applyFont="1" applyFill="1" applyAlignment="1" applyProtection="1">
      <alignment horizontal="center"/>
    </xf>
    <xf numFmtId="0" fontId="18" fillId="8" borderId="0" xfId="17" applyFont="1" applyFill="1" applyAlignment="1" applyProtection="1"/>
    <xf numFmtId="0" fontId="24" fillId="8" borderId="0" xfId="17" applyFont="1" applyFill="1" applyAlignment="1" applyProtection="1"/>
    <xf numFmtId="0" fontId="20" fillId="8" borderId="0" xfId="17" applyFont="1" applyFill="1" applyAlignment="1" applyProtection="1">
      <alignment horizontal="center"/>
    </xf>
    <xf numFmtId="0" fontId="20" fillId="8" borderId="0" xfId="17" applyFont="1" applyFill="1" applyAlignment="1" applyProtection="1">
      <alignment horizontal="center" wrapText="1"/>
    </xf>
    <xf numFmtId="0" fontId="23" fillId="8" borderId="0" xfId="17" applyFont="1" applyFill="1" applyAlignment="1" applyProtection="1">
      <alignment horizontal="center"/>
    </xf>
    <xf numFmtId="0" fontId="23" fillId="8" borderId="0" xfId="17" applyFont="1" applyFill="1" applyAlignment="1" applyProtection="1">
      <alignment horizontal="center" wrapText="1"/>
    </xf>
    <xf numFmtId="0" fontId="9" fillId="8" borderId="0" xfId="17" applyFont="1" applyFill="1" applyAlignment="1" applyProtection="1">
      <alignment horizontal="center" wrapText="1"/>
    </xf>
    <xf numFmtId="0" fontId="20" fillId="8" borderId="0" xfId="17" applyFont="1" applyFill="1" applyBorder="1" applyAlignment="1" applyProtection="1"/>
    <xf numFmtId="0" fontId="9" fillId="8" borderId="0" xfId="17" applyFont="1" applyFill="1" applyBorder="1" applyAlignment="1" applyProtection="1"/>
    <xf numFmtId="3" fontId="9" fillId="8" borderId="0" xfId="17" applyNumberFormat="1" applyFont="1" applyFill="1" applyBorder="1" applyAlignment="1" applyProtection="1"/>
    <xf numFmtId="0" fontId="20" fillId="8" borderId="0" xfId="17" applyFont="1" applyFill="1" applyBorder="1" applyAlignment="1" applyProtection="1">
      <alignment horizontal="center" wrapText="1"/>
    </xf>
    <xf numFmtId="167" fontId="20" fillId="8" borderId="0" xfId="17" applyNumberFormat="1" applyFont="1" applyFill="1" applyBorder="1" applyAlignment="1" applyProtection="1">
      <alignment horizontal="left"/>
    </xf>
    <xf numFmtId="0" fontId="20" fillId="8" borderId="0" xfId="17" applyFont="1" applyFill="1" applyBorder="1" applyAlignment="1" applyProtection="1">
      <alignment horizontal="left"/>
    </xf>
    <xf numFmtId="0" fontId="9" fillId="8" borderId="0" xfId="17" applyFont="1" applyFill="1" applyBorder="1" applyAlignment="1" applyProtection="1">
      <alignment horizontal="left"/>
    </xf>
    <xf numFmtId="0" fontId="9" fillId="8" borderId="0" xfId="17" applyNumberFormat="1" applyFont="1" applyFill="1" applyBorder="1" applyAlignment="1" applyProtection="1">
      <alignment horizontal="left"/>
    </xf>
    <xf numFmtId="0" fontId="20" fillId="8" borderId="0" xfId="17" applyNumberFormat="1" applyFont="1" applyFill="1" applyBorder="1" applyAlignment="1" applyProtection="1"/>
    <xf numFmtId="0" fontId="20" fillId="8" borderId="0" xfId="17" applyFont="1" applyFill="1" applyBorder="1" applyAlignment="1" applyProtection="1">
      <alignment horizontal="center"/>
    </xf>
    <xf numFmtId="0" fontId="20" fillId="8" borderId="0" xfId="17" applyFont="1" applyFill="1" applyBorder="1" applyAlignment="1" applyProtection="1">
      <alignment horizontal="center" shrinkToFit="1"/>
    </xf>
    <xf numFmtId="1" fontId="20" fillId="8" borderId="0" xfId="17" applyNumberFormat="1" applyFont="1" applyFill="1" applyBorder="1" applyAlignment="1" applyProtection="1">
      <alignment horizontal="center"/>
    </xf>
    <xf numFmtId="167" fontId="23" fillId="8" borderId="0" xfId="17" applyNumberFormat="1" applyFont="1" applyFill="1" applyBorder="1" applyAlignment="1" applyProtection="1"/>
    <xf numFmtId="0" fontId="20" fillId="9" borderId="0" xfId="17" applyFont="1" applyFill="1" applyAlignment="1" applyProtection="1"/>
    <xf numFmtId="0" fontId="9" fillId="9" borderId="0" xfId="17" applyFont="1" applyFill="1" applyAlignment="1" applyProtection="1"/>
    <xf numFmtId="0" fontId="26" fillId="8" borderId="0" xfId="17" applyFont="1" applyFill="1" applyBorder="1" applyAlignment="1" applyProtection="1"/>
    <xf numFmtId="0" fontId="26" fillId="8" borderId="0" xfId="17" applyNumberFormat="1" applyFont="1" applyFill="1" applyBorder="1" applyAlignment="1" applyProtection="1"/>
    <xf numFmtId="0" fontId="25" fillId="8" borderId="0" xfId="17" applyFont="1" applyFill="1" applyBorder="1" applyAlignment="1" applyProtection="1"/>
    <xf numFmtId="0" fontId="25" fillId="8" borderId="0" xfId="17" applyNumberFormat="1" applyFont="1" applyFill="1" applyBorder="1" applyAlignment="1" applyProtection="1"/>
    <xf numFmtId="0" fontId="9" fillId="2" borderId="1" xfId="17" applyFont="1" applyFill="1" applyBorder="1" applyAlignment="1" applyProtection="1">
      <alignment horizontal="center"/>
    </xf>
    <xf numFmtId="1" fontId="15" fillId="2" borderId="1" xfId="17" applyNumberFormat="1" applyFont="1" applyFill="1" applyBorder="1" applyAlignment="1" applyProtection="1">
      <alignment horizontal="center"/>
    </xf>
    <xf numFmtId="0" fontId="12" fillId="0" borderId="10" xfId="0" applyFont="1" applyBorder="1" applyAlignment="1" applyProtection="1">
      <alignment horizontal="center" wrapText="1"/>
    </xf>
    <xf numFmtId="0" fontId="12" fillId="0" borderId="11" xfId="0" applyFont="1" applyBorder="1" applyAlignment="1" applyProtection="1">
      <alignment horizontal="center" wrapText="1"/>
    </xf>
    <xf numFmtId="0" fontId="34" fillId="0" borderId="12" xfId="0" applyFont="1" applyBorder="1"/>
    <xf numFmtId="0" fontId="13" fillId="0" borderId="13" xfId="0" applyFont="1" applyBorder="1" applyAlignment="1" applyProtection="1">
      <alignment horizontal="left" wrapText="1" indent="1"/>
    </xf>
    <xf numFmtId="0" fontId="77" fillId="0" borderId="12" xfId="0" applyFont="1" applyBorder="1" applyAlignment="1">
      <alignment horizontal="left" vertical="center" indent="1"/>
    </xf>
    <xf numFmtId="0" fontId="34" fillId="0" borderId="12" xfId="0" applyFont="1" applyBorder="1" applyAlignment="1">
      <alignment horizontal="left" vertical="center" indent="1"/>
    </xf>
    <xf numFmtId="0" fontId="13" fillId="0" borderId="13" xfId="0" applyFont="1" applyBorder="1" applyAlignment="1" applyProtection="1">
      <alignment horizontal="left" wrapText="1"/>
    </xf>
    <xf numFmtId="0" fontId="13" fillId="0" borderId="14" xfId="0" applyFont="1" applyBorder="1" applyAlignment="1" applyProtection="1">
      <alignment horizontal="left" wrapText="1" indent="1"/>
    </xf>
    <xf numFmtId="0" fontId="13" fillId="0" borderId="11" xfId="0" applyFont="1" applyBorder="1" applyAlignment="1" applyProtection="1">
      <alignment horizontal="justify" wrapText="1"/>
    </xf>
    <xf numFmtId="0" fontId="13" fillId="0" borderId="15" xfId="0" applyFont="1" applyBorder="1" applyAlignment="1" applyProtection="1">
      <alignment horizontal="justify" wrapText="1"/>
    </xf>
    <xf numFmtId="0" fontId="13" fillId="0" borderId="12" xfId="0" applyFont="1" applyBorder="1" applyAlignment="1" applyProtection="1">
      <alignment horizontal="left" wrapText="1"/>
    </xf>
    <xf numFmtId="0" fontId="13" fillId="0" borderId="15" xfId="0" applyFont="1" applyBorder="1" applyAlignment="1" applyProtection="1">
      <alignment horizontal="left" wrapText="1"/>
    </xf>
    <xf numFmtId="0" fontId="13" fillId="0" borderId="11" xfId="0" applyFont="1" applyBorder="1" applyAlignment="1" applyProtection="1">
      <alignment wrapText="1"/>
    </xf>
    <xf numFmtId="0" fontId="13" fillId="0" borderId="10" xfId="0" applyFont="1" applyBorder="1" applyAlignment="1" applyProtection="1">
      <alignment horizontal="center" wrapText="1"/>
    </xf>
    <xf numFmtId="0" fontId="13" fillId="0" borderId="14" xfId="0" applyFont="1" applyBorder="1" applyAlignment="1" applyProtection="1">
      <alignment horizontal="left" wrapText="1"/>
    </xf>
    <xf numFmtId="0" fontId="13" fillId="0" borderId="11" xfId="0" applyFont="1" applyBorder="1" applyAlignment="1" applyProtection="1">
      <alignment horizontal="left" wrapText="1"/>
    </xf>
    <xf numFmtId="0" fontId="14" fillId="0" borderId="10" xfId="17" applyFont="1" applyFill="1" applyBorder="1" applyAlignment="1" applyProtection="1">
      <alignment horizontal="center" wrapText="1"/>
    </xf>
    <xf numFmtId="0" fontId="13" fillId="0" borderId="11" xfId="0" applyFont="1" applyBorder="1" applyAlignment="1" applyProtection="1">
      <alignment horizontal="left" vertical="top" wrapText="1"/>
    </xf>
    <xf numFmtId="0" fontId="14" fillId="0" borderId="11" xfId="17" applyFont="1" applyFill="1" applyBorder="1" applyAlignment="1" applyProtection="1">
      <alignment horizontal="left" wrapText="1"/>
    </xf>
    <xf numFmtId="0" fontId="14" fillId="0" borderId="16" xfId="17" applyFont="1" applyFill="1" applyBorder="1" applyAlignment="1" applyProtection="1">
      <alignment horizontal="center" wrapText="1"/>
    </xf>
    <xf numFmtId="0" fontId="14" fillId="0" borderId="17" xfId="17" applyFont="1" applyFill="1" applyBorder="1" applyAlignment="1" applyProtection="1">
      <alignment horizontal="center" wrapText="1"/>
    </xf>
    <xf numFmtId="0" fontId="14" fillId="0" borderId="18" xfId="17" applyFont="1" applyFill="1" applyBorder="1" applyAlignment="1" applyProtection="1">
      <alignment horizontal="left" wrapText="1"/>
    </xf>
    <xf numFmtId="0" fontId="15" fillId="0" borderId="1" xfId="17" applyNumberFormat="1" applyFont="1" applyFill="1" applyBorder="1" applyAlignment="1" applyProtection="1">
      <alignment horizontal="center"/>
    </xf>
    <xf numFmtId="0" fontId="15" fillId="0" borderId="1" xfId="5" applyNumberFormat="1" applyFont="1" applyFill="1" applyBorder="1" applyAlignment="1" applyProtection="1">
      <alignment horizontal="center"/>
    </xf>
    <xf numFmtId="0" fontId="9" fillId="2" borderId="1" xfId="22" applyNumberFormat="1" applyFont="1" applyFill="1" applyBorder="1" applyAlignment="1" applyProtection="1">
      <alignment horizontal="center"/>
    </xf>
    <xf numFmtId="0" fontId="14" fillId="2" borderId="11" xfId="0" applyFont="1" applyFill="1" applyBorder="1" applyAlignment="1" applyProtection="1">
      <alignment horizontal="justify" wrapText="1"/>
    </xf>
    <xf numFmtId="0" fontId="35" fillId="8" borderId="0" xfId="17" applyFont="1" applyFill="1" applyBorder="1" applyAlignment="1" applyProtection="1"/>
    <xf numFmtId="0" fontId="15" fillId="2" borderId="7" xfId="22" applyFont="1" applyFill="1" applyBorder="1" applyAlignment="1" applyProtection="1"/>
    <xf numFmtId="167" fontId="15" fillId="2" borderId="7" xfId="1" applyNumberFormat="1" applyFont="1" applyFill="1" applyBorder="1" applyAlignment="1" applyProtection="1">
      <alignment horizontal="center"/>
    </xf>
    <xf numFmtId="0" fontId="37" fillId="0" borderId="0" xfId="20" applyFont="1" applyFill="1" applyProtection="1">
      <protection locked="0" hidden="1"/>
    </xf>
    <xf numFmtId="0" fontId="38" fillId="0" borderId="0" xfId="20" applyFont="1" applyFill="1" applyAlignment="1" applyProtection="1">
      <protection locked="0" hidden="1"/>
    </xf>
    <xf numFmtId="0" fontId="37" fillId="0" borderId="0" xfId="20" applyFont="1" applyProtection="1">
      <protection locked="0" hidden="1"/>
    </xf>
    <xf numFmtId="0" fontId="37" fillId="0" borderId="0" xfId="20" applyFont="1" applyFill="1" applyBorder="1" applyAlignment="1" applyProtection="1">
      <protection locked="0" hidden="1"/>
    </xf>
    <xf numFmtId="0" fontId="39" fillId="0" borderId="0" xfId="20" applyFont="1" applyFill="1" applyBorder="1" applyAlignment="1" applyProtection="1">
      <alignment vertical="center"/>
      <protection locked="0" hidden="1"/>
    </xf>
    <xf numFmtId="0" fontId="40" fillId="0" borderId="0" xfId="20" applyFont="1" applyProtection="1">
      <protection locked="0" hidden="1"/>
    </xf>
    <xf numFmtId="0" fontId="40" fillId="0" borderId="0" xfId="20" applyFont="1" applyFill="1" applyBorder="1" applyAlignment="1" applyProtection="1">
      <protection locked="0" hidden="1"/>
    </xf>
    <xf numFmtId="0" fontId="42" fillId="0" borderId="0" xfId="20" applyFont="1" applyFill="1" applyBorder="1" applyAlignment="1" applyProtection="1">
      <protection locked="0" hidden="1"/>
    </xf>
    <xf numFmtId="0" fontId="40" fillId="0" borderId="0" xfId="20" applyFont="1" applyFill="1" applyBorder="1" applyProtection="1">
      <protection locked="0" hidden="1"/>
    </xf>
    <xf numFmtId="0" fontId="42" fillId="0" borderId="0" xfId="20" applyFont="1" applyFill="1" applyBorder="1" applyAlignment="1" applyProtection="1">
      <alignment shrinkToFit="1"/>
      <protection locked="0" hidden="1"/>
    </xf>
    <xf numFmtId="0" fontId="45" fillId="0" borderId="0" xfId="20" applyFont="1"/>
    <xf numFmtId="0" fontId="45" fillId="0" borderId="0" xfId="20" applyFont="1" applyAlignment="1">
      <alignment horizontal="center"/>
    </xf>
    <xf numFmtId="0" fontId="46" fillId="0" borderId="0" xfId="20" applyFont="1" applyAlignment="1">
      <alignment horizontal="center"/>
    </xf>
    <xf numFmtId="0" fontId="47" fillId="0" borderId="0" xfId="20" applyFont="1" applyAlignment="1">
      <alignment horizontal="center"/>
    </xf>
    <xf numFmtId="0" fontId="45" fillId="0" borderId="19" xfId="20" applyFont="1" applyBorder="1" applyAlignment="1">
      <alignment horizontal="center"/>
    </xf>
    <xf numFmtId="0" fontId="48" fillId="0" borderId="19" xfId="20" applyFont="1" applyBorder="1" applyAlignment="1"/>
    <xf numFmtId="171" fontId="45" fillId="0" borderId="19" xfId="10" applyNumberFormat="1" applyFont="1" applyBorder="1" applyAlignment="1">
      <alignment horizontal="center"/>
    </xf>
    <xf numFmtId="171" fontId="45" fillId="4" borderId="19" xfId="10" applyNumberFormat="1" applyFont="1" applyFill="1" applyBorder="1" applyAlignment="1">
      <alignment horizontal="center"/>
    </xf>
    <xf numFmtId="0" fontId="49" fillId="0" borderId="19" xfId="20" applyFont="1" applyBorder="1" applyAlignment="1"/>
    <xf numFmtId="10" fontId="45" fillId="0" borderId="0" xfId="20" applyNumberFormat="1" applyFont="1"/>
    <xf numFmtId="0" fontId="50" fillId="0" borderId="0" xfId="20" applyFont="1" applyAlignment="1">
      <alignment horizontal="center"/>
    </xf>
    <xf numFmtId="0" fontId="48" fillId="0" borderId="20" xfId="20" applyFont="1" applyBorder="1" applyAlignment="1">
      <alignment horizontal="center"/>
    </xf>
    <xf numFmtId="0" fontId="48" fillId="0" borderId="21" xfId="20" applyFont="1" applyBorder="1"/>
    <xf numFmtId="0" fontId="48" fillId="0" borderId="22" xfId="20" applyFont="1" applyBorder="1" applyAlignment="1">
      <alignment horizontal="center"/>
    </xf>
    <xf numFmtId="0" fontId="45" fillId="0" borderId="23" xfId="20" applyFont="1" applyBorder="1" applyAlignment="1">
      <alignment horizontal="center"/>
    </xf>
    <xf numFmtId="0" fontId="52" fillId="9" borderId="19" xfId="24" applyFont="1" applyFill="1" applyBorder="1" applyAlignment="1" applyProtection="1">
      <alignment horizontal="left" wrapText="1" indent="1"/>
    </xf>
    <xf numFmtId="0" fontId="45" fillId="0" borderId="24" xfId="20" applyFont="1" applyBorder="1" applyAlignment="1">
      <alignment horizontal="center"/>
    </xf>
    <xf numFmtId="0" fontId="52" fillId="9" borderId="25" xfId="24" applyFont="1" applyFill="1" applyBorder="1" applyAlignment="1" applyProtection="1">
      <alignment horizontal="left" wrapText="1" indent="1"/>
    </xf>
    <xf numFmtId="0" fontId="45" fillId="0" borderId="26" xfId="20" applyFont="1" applyBorder="1" applyAlignment="1">
      <alignment horizontal="center"/>
    </xf>
    <xf numFmtId="0" fontId="48" fillId="0" borderId="27" xfId="20" applyFont="1" applyBorder="1"/>
    <xf numFmtId="0" fontId="45" fillId="0" borderId="28" xfId="20" applyFont="1" applyBorder="1" applyAlignment="1">
      <alignment horizontal="center"/>
    </xf>
    <xf numFmtId="0" fontId="53" fillId="9" borderId="19" xfId="24" applyFont="1" applyFill="1" applyBorder="1" applyAlignment="1" applyProtection="1">
      <alignment horizontal="left" wrapText="1" indent="1"/>
    </xf>
    <xf numFmtId="0" fontId="45" fillId="0" borderId="29" xfId="20" applyFont="1" applyBorder="1" applyAlignment="1">
      <alignment horizontal="center"/>
    </xf>
    <xf numFmtId="0" fontId="45" fillId="0" borderId="30" xfId="20" applyFont="1" applyBorder="1"/>
    <xf numFmtId="0" fontId="45" fillId="0" borderId="31" xfId="20" applyFont="1" applyBorder="1" applyAlignment="1">
      <alignment horizontal="center"/>
    </xf>
    <xf numFmtId="0" fontId="45" fillId="0" borderId="31" xfId="20" applyFont="1" applyBorder="1"/>
    <xf numFmtId="0" fontId="45" fillId="4" borderId="0" xfId="20" applyFont="1" applyFill="1"/>
    <xf numFmtId="169" fontId="54" fillId="0" borderId="0" xfId="10" applyNumberFormat="1" applyFont="1"/>
    <xf numFmtId="169" fontId="54" fillId="0" borderId="0" xfId="10" applyNumberFormat="1" applyFont="1" applyAlignment="1">
      <alignment horizontal="center"/>
    </xf>
    <xf numFmtId="9" fontId="45" fillId="0" borderId="0" xfId="36" applyFont="1"/>
    <xf numFmtId="169" fontId="45" fillId="0" borderId="0" xfId="10" applyNumberFormat="1" applyFont="1" applyAlignment="1">
      <alignment horizontal="center"/>
    </xf>
    <xf numFmtId="169" fontId="45" fillId="0" borderId="0" xfId="10" applyNumberFormat="1" applyFont="1"/>
    <xf numFmtId="9" fontId="54" fillId="0" borderId="0" xfId="36" applyFont="1"/>
    <xf numFmtId="169" fontId="54" fillId="0" borderId="33" xfId="10" applyNumberFormat="1" applyFont="1" applyBorder="1" applyAlignment="1">
      <alignment horizontal="center"/>
    </xf>
    <xf numFmtId="167" fontId="9" fillId="10" borderId="1" xfId="1" applyNumberFormat="1" applyFont="1" applyFill="1" applyBorder="1" applyAlignment="1" applyProtection="1">
      <alignment horizontal="right"/>
      <protection locked="0"/>
    </xf>
    <xf numFmtId="0" fontId="55" fillId="0" borderId="19" xfId="20" applyFont="1" applyBorder="1" applyAlignment="1"/>
    <xf numFmtId="0" fontId="0" fillId="0" borderId="19" xfId="0" applyNumberFormat="1" applyBorder="1" applyAlignment="1" applyProtection="1">
      <alignment horizontal="center"/>
    </xf>
    <xf numFmtId="0" fontId="56" fillId="0" borderId="19" xfId="0" applyNumberFormat="1" applyFont="1" applyBorder="1" applyAlignment="1" applyProtection="1">
      <alignment horizontal="center"/>
    </xf>
    <xf numFmtId="171" fontId="0" fillId="0" borderId="19" xfId="1" applyNumberFormat="1" applyFont="1" applyBorder="1" applyAlignment="1" applyProtection="1"/>
    <xf numFmtId="0" fontId="0" fillId="0" borderId="19" xfId="1" applyNumberFormat="1" applyFont="1" applyBorder="1" applyAlignment="1" applyProtection="1"/>
    <xf numFmtId="0" fontId="56" fillId="0" borderId="0" xfId="0" applyNumberFormat="1" applyFont="1" applyAlignment="1" applyProtection="1"/>
    <xf numFmtId="0" fontId="34" fillId="0" borderId="0" xfId="0" applyNumberFormat="1" applyFont="1" applyBorder="1" applyAlignment="1" applyProtection="1"/>
    <xf numFmtId="171" fontId="56" fillId="0" borderId="0" xfId="0" applyNumberFormat="1" applyFont="1" applyAlignment="1" applyProtection="1"/>
    <xf numFmtId="3" fontId="56" fillId="4" borderId="0" xfId="0" applyNumberFormat="1" applyFont="1" applyFill="1" applyAlignment="1" applyProtection="1"/>
    <xf numFmtId="0" fontId="56" fillId="0" borderId="0" xfId="0" applyNumberFormat="1" applyFont="1" applyAlignment="1" applyProtection="1">
      <alignment horizontal="right"/>
    </xf>
    <xf numFmtId="0" fontId="0" fillId="0" borderId="28" xfId="1" applyNumberFormat="1" applyFont="1" applyBorder="1" applyAlignment="1" applyProtection="1">
      <alignment horizontal="right" wrapText="1"/>
    </xf>
    <xf numFmtId="167" fontId="33" fillId="0" borderId="0" xfId="1" applyNumberFormat="1"/>
    <xf numFmtId="10" fontId="45" fillId="0" borderId="0" xfId="33" applyNumberFormat="1" applyFont="1"/>
    <xf numFmtId="167" fontId="33" fillId="0" borderId="33" xfId="1" applyNumberFormat="1" applyBorder="1" applyAlignment="1">
      <alignment horizontal="center"/>
    </xf>
    <xf numFmtId="167" fontId="0" fillId="0" borderId="0" xfId="1" applyNumberFormat="1" applyFont="1"/>
    <xf numFmtId="171" fontId="57" fillId="0" borderId="19" xfId="1" applyNumberFormat="1" applyFont="1" applyBorder="1" applyAlignment="1">
      <alignment horizontal="center"/>
    </xf>
    <xf numFmtId="167" fontId="33" fillId="0" borderId="34" xfId="1" applyNumberFormat="1" applyBorder="1" applyAlignment="1">
      <alignment horizontal="center"/>
    </xf>
    <xf numFmtId="167" fontId="33" fillId="0" borderId="23" xfId="1" applyNumberFormat="1" applyBorder="1" applyAlignment="1">
      <alignment horizontal="center"/>
    </xf>
    <xf numFmtId="167" fontId="33" fillId="0" borderId="35" xfId="1" applyNumberFormat="1" applyBorder="1" applyAlignment="1">
      <alignment horizontal="center"/>
    </xf>
    <xf numFmtId="167" fontId="35" fillId="4" borderId="36" xfId="1" applyNumberFormat="1" applyFont="1" applyFill="1" applyBorder="1" applyAlignment="1">
      <alignment horizontal="center"/>
    </xf>
    <xf numFmtId="167" fontId="33" fillId="0" borderId="37" xfId="1" applyNumberFormat="1" applyBorder="1" applyAlignment="1">
      <alignment horizontal="center"/>
    </xf>
    <xf numFmtId="167" fontId="33" fillId="0" borderId="38" xfId="1" applyNumberFormat="1" applyBorder="1" applyAlignment="1">
      <alignment horizontal="center"/>
    </xf>
    <xf numFmtId="167" fontId="33" fillId="0" borderId="0" xfId="1" applyNumberFormat="1" applyAlignment="1">
      <alignment horizontal="center"/>
    </xf>
    <xf numFmtId="167" fontId="33" fillId="4" borderId="0" xfId="1" applyNumberFormat="1" applyFill="1" applyAlignment="1">
      <alignment horizontal="center"/>
    </xf>
    <xf numFmtId="167" fontId="33" fillId="6" borderId="0" xfId="1" applyNumberFormat="1" applyFill="1" applyAlignment="1">
      <alignment horizontal="center"/>
    </xf>
    <xf numFmtId="171" fontId="45" fillId="9" borderId="19" xfId="10" applyNumberFormat="1" applyFont="1" applyFill="1" applyBorder="1" applyAlignment="1">
      <alignment horizontal="center"/>
    </xf>
    <xf numFmtId="0" fontId="0" fillId="0" borderId="0" xfId="0" applyNumberFormat="1" applyProtection="1"/>
    <xf numFmtId="0" fontId="0" fillId="0" borderId="0" xfId="0" applyProtection="1">
      <protection locked="0"/>
    </xf>
    <xf numFmtId="0" fontId="75" fillId="0" borderId="0" xfId="0" applyFont="1" applyProtection="1">
      <protection locked="0"/>
    </xf>
    <xf numFmtId="0" fontId="75" fillId="0" borderId="0" xfId="0" applyNumberFormat="1" applyFont="1" applyProtection="1"/>
    <xf numFmtId="0" fontId="22" fillId="2" borderId="1" xfId="26" applyFont="1" applyFill="1" applyBorder="1" applyAlignment="1" applyProtection="1">
      <alignment horizontal="left" wrapText="1" indent="1"/>
    </xf>
    <xf numFmtId="167" fontId="22" fillId="3" borderId="1" xfId="8" applyNumberFormat="1" applyFont="1" applyFill="1" applyBorder="1" applyAlignment="1" applyProtection="1">
      <protection locked="0"/>
    </xf>
    <xf numFmtId="0" fontId="55" fillId="0" borderId="0" xfId="20" applyFont="1"/>
    <xf numFmtId="167" fontId="55" fillId="0" borderId="0" xfId="20" applyNumberFormat="1" applyFont="1"/>
    <xf numFmtId="167" fontId="32" fillId="0" borderId="0" xfId="1" applyNumberFormat="1" applyFont="1"/>
    <xf numFmtId="0" fontId="58" fillId="0" borderId="0" xfId="20" applyFont="1"/>
    <xf numFmtId="0" fontId="56" fillId="9" borderId="39" xfId="0" applyNumberFormat="1" applyFont="1" applyFill="1" applyBorder="1" applyAlignment="1" applyProtection="1">
      <alignment horizontal="center"/>
    </xf>
    <xf numFmtId="0" fontId="56" fillId="9" borderId="26" xfId="0" applyNumberFormat="1" applyFont="1" applyFill="1" applyBorder="1" applyAlignment="1" applyProtection="1">
      <alignment horizontal="center"/>
    </xf>
    <xf numFmtId="0" fontId="33" fillId="8" borderId="1" xfId="17" applyNumberFormat="1" applyFont="1" applyFill="1" applyBorder="1" applyAlignment="1" applyProtection="1">
      <alignment horizontal="center"/>
    </xf>
    <xf numFmtId="0" fontId="33" fillId="9" borderId="1" xfId="17" applyNumberFormat="1" applyFont="1" applyFill="1" applyBorder="1" applyAlignment="1" applyProtection="1">
      <alignment horizontal="center"/>
    </xf>
    <xf numFmtId="0" fontId="9" fillId="2" borderId="1" xfId="17" applyFont="1" applyFill="1" applyBorder="1" applyAlignment="1" applyProtection="1">
      <alignment horizontal="left" indent="1"/>
    </xf>
    <xf numFmtId="167" fontId="9" fillId="11" borderId="1" xfId="8" applyNumberFormat="1" applyFont="1" applyFill="1" applyBorder="1" applyAlignment="1" applyProtection="1">
      <protection locked="0"/>
    </xf>
    <xf numFmtId="0" fontId="9" fillId="0" borderId="0" xfId="17" applyNumberFormat="1" applyFont="1" applyFill="1" applyBorder="1" applyAlignment="1" applyProtection="1"/>
    <xf numFmtId="0" fontId="15" fillId="8" borderId="3" xfId="17" applyNumberFormat="1" applyFont="1" applyFill="1" applyBorder="1" applyAlignment="1" applyProtection="1">
      <alignment horizontal="center"/>
    </xf>
    <xf numFmtId="0" fontId="9" fillId="0" borderId="1" xfId="17" applyFont="1" applyFill="1" applyBorder="1" applyAlignment="1" applyProtection="1">
      <alignment horizontal="center"/>
    </xf>
    <xf numFmtId="0" fontId="9" fillId="0" borderId="1" xfId="22" applyFont="1" applyFill="1" applyBorder="1" applyAlignment="1" applyProtection="1">
      <alignment horizontal="left" wrapText="1" indent="1"/>
    </xf>
    <xf numFmtId="49" fontId="43" fillId="5" borderId="24" xfId="0" applyNumberFormat="1" applyFont="1" applyFill="1" applyBorder="1" applyAlignment="1" applyProtection="1">
      <alignment shrinkToFit="1"/>
      <protection locked="0" hidden="1"/>
    </xf>
    <xf numFmtId="171" fontId="45" fillId="0" borderId="0" xfId="20" applyNumberFormat="1" applyFont="1"/>
    <xf numFmtId="0" fontId="78" fillId="14" borderId="61" xfId="0" applyNumberFormat="1" applyFont="1" applyFill="1" applyBorder="1" applyAlignment="1">
      <alignment horizontal="center" vertical="center" wrapText="1"/>
    </xf>
    <xf numFmtId="0" fontId="78" fillId="14" borderId="62" xfId="0" applyNumberFormat="1" applyFont="1" applyFill="1" applyBorder="1" applyAlignment="1">
      <alignment horizontal="center" vertical="center" wrapText="1"/>
    </xf>
    <xf numFmtId="0" fontId="19" fillId="2" borderId="3" xfId="17" applyNumberFormat="1" applyFont="1" applyFill="1" applyBorder="1" applyAlignment="1" applyProtection="1">
      <alignment horizontal="center"/>
    </xf>
    <xf numFmtId="0" fontId="22" fillId="0" borderId="0" xfId="17" applyFont="1" applyFill="1" applyAlignment="1" applyProtection="1"/>
    <xf numFmtId="0" fontId="16" fillId="2" borderId="2" xfId="17" applyFont="1" applyFill="1" applyBorder="1" applyAlignment="1" applyProtection="1">
      <alignment horizontal="center"/>
    </xf>
    <xf numFmtId="0" fontId="19" fillId="2" borderId="7" xfId="17" applyFont="1" applyFill="1" applyBorder="1" applyAlignment="1" applyProtection="1">
      <alignment horizontal="center" wrapText="1"/>
    </xf>
    <xf numFmtId="0" fontId="15" fillId="3" borderId="3" xfId="22" applyFont="1" applyFill="1" applyBorder="1" applyAlignment="1" applyProtection="1">
      <alignment horizontal="center"/>
      <protection locked="0"/>
    </xf>
    <xf numFmtId="1" fontId="15" fillId="3" borderId="3" xfId="17" applyNumberFormat="1" applyFont="1" applyFill="1" applyBorder="1" applyAlignment="1" applyProtection="1">
      <alignment horizontal="center" wrapText="1"/>
      <protection locked="0"/>
    </xf>
    <xf numFmtId="168" fontId="9" fillId="2" borderId="0" xfId="22" applyNumberFormat="1" applyFont="1" applyFill="1" applyBorder="1" applyAlignment="1" applyProtection="1">
      <alignment horizontal="center"/>
    </xf>
    <xf numFmtId="0" fontId="56" fillId="9" borderId="39" xfId="0" applyNumberFormat="1" applyFont="1" applyFill="1" applyBorder="1" applyAlignment="1" applyProtection="1">
      <alignment horizontal="center"/>
    </xf>
    <xf numFmtId="0" fontId="56" fillId="9" borderId="26" xfId="0" applyNumberFormat="1" applyFont="1" applyFill="1" applyBorder="1" applyAlignment="1" applyProtection="1">
      <alignment horizontal="center"/>
    </xf>
    <xf numFmtId="0" fontId="35" fillId="2" borderId="1" xfId="17" applyFont="1" applyFill="1" applyBorder="1" applyAlignment="1" applyProtection="1">
      <alignment horizontal="center"/>
    </xf>
    <xf numFmtId="0" fontId="33" fillId="2" borderId="1" xfId="17" applyFont="1" applyFill="1" applyBorder="1" applyAlignment="1" applyProtection="1">
      <alignment horizontal="center"/>
    </xf>
    <xf numFmtId="0" fontId="60" fillId="8" borderId="0" xfId="17" applyFont="1" applyFill="1" applyBorder="1" applyAlignment="1" applyProtection="1"/>
    <xf numFmtId="0" fontId="22" fillId="8" borderId="0" xfId="17" applyFont="1" applyFill="1" applyBorder="1" applyAlignment="1" applyProtection="1"/>
    <xf numFmtId="0" fontId="22" fillId="8" borderId="0" xfId="17" applyNumberFormat="1" applyFont="1" applyFill="1" applyBorder="1" applyAlignment="1" applyProtection="1"/>
    <xf numFmtId="0" fontId="9" fillId="0" borderId="1" xfId="17" applyFont="1" applyFill="1" applyBorder="1" applyAlignment="1" applyProtection="1">
      <alignment horizontal="left" wrapText="1"/>
    </xf>
    <xf numFmtId="0" fontId="15" fillId="0" borderId="1" xfId="17" applyFont="1" applyFill="1" applyBorder="1" applyAlignment="1" applyProtection="1">
      <alignment horizontal="left" wrapText="1"/>
    </xf>
    <xf numFmtId="167" fontId="20" fillId="8" borderId="0" xfId="17" applyNumberFormat="1" applyFont="1" applyFill="1" applyBorder="1" applyAlignment="1" applyProtection="1"/>
    <xf numFmtId="0" fontId="15" fillId="2" borderId="63" xfId="17" applyNumberFormat="1" applyFont="1" applyFill="1" applyBorder="1" applyAlignment="1" applyProtection="1">
      <alignment horizontal="center"/>
    </xf>
    <xf numFmtId="0" fontId="36" fillId="2" borderId="1" xfId="17" applyFont="1" applyFill="1" applyBorder="1" applyAlignment="1" applyProtection="1">
      <alignment horizontal="center"/>
    </xf>
    <xf numFmtId="0" fontId="36" fillId="2" borderId="1" xfId="17" applyFont="1" applyFill="1" applyBorder="1" applyAlignment="1" applyProtection="1">
      <alignment wrapText="1"/>
    </xf>
    <xf numFmtId="0" fontId="36" fillId="0" borderId="1" xfId="17" applyFont="1" applyFill="1" applyBorder="1" applyAlignment="1" applyProtection="1">
      <alignment wrapText="1"/>
    </xf>
    <xf numFmtId="3" fontId="15" fillId="0" borderId="1" xfId="17" applyNumberFormat="1" applyFont="1" applyFill="1" applyBorder="1" applyAlignment="1" applyProtection="1"/>
    <xf numFmtId="1" fontId="15" fillId="0" borderId="8" xfId="17" applyNumberFormat="1" applyFont="1" applyFill="1" applyBorder="1" applyAlignment="1" applyProtection="1">
      <alignment horizontal="center" wrapText="1"/>
    </xf>
    <xf numFmtId="9" fontId="9" fillId="3" borderId="8" xfId="3" applyNumberFormat="1" applyFont="1" applyFill="1" applyBorder="1" applyAlignment="1" applyProtection="1">
      <alignment horizontal="center"/>
      <protection locked="0"/>
    </xf>
    <xf numFmtId="167" fontId="9" fillId="3" borderId="8" xfId="1" applyNumberFormat="1" applyFont="1" applyFill="1" applyBorder="1" applyAlignment="1" applyProtection="1">
      <alignment horizontal="right"/>
      <protection locked="0"/>
    </xf>
    <xf numFmtId="0" fontId="78" fillId="8" borderId="0" xfId="17" applyFont="1" applyFill="1" applyAlignment="1" applyProtection="1">
      <alignment horizontal="center"/>
    </xf>
    <xf numFmtId="0" fontId="61" fillId="8" borderId="1" xfId="17" applyFont="1" applyFill="1" applyBorder="1" applyAlignment="1" applyProtection="1">
      <alignment horizontal="center"/>
    </xf>
    <xf numFmtId="0" fontId="28" fillId="8" borderId="1" xfId="17" applyFont="1" applyFill="1" applyBorder="1" applyAlignment="1" applyProtection="1">
      <alignment horizontal="center"/>
    </xf>
    <xf numFmtId="0" fontId="28" fillId="8" borderId="3" xfId="17" applyNumberFormat="1" applyFont="1" applyFill="1" applyBorder="1" applyAlignment="1" applyProtection="1">
      <alignment horizontal="center"/>
    </xf>
    <xf numFmtId="0" fontId="28" fillId="0" borderId="3" xfId="17" applyNumberFormat="1" applyFont="1" applyFill="1" applyBorder="1" applyAlignment="1" applyProtection="1">
      <alignment horizontal="center"/>
    </xf>
    <xf numFmtId="0" fontId="28" fillId="8" borderId="1" xfId="17" applyNumberFormat="1" applyFont="1" applyFill="1" applyBorder="1" applyAlignment="1" applyProtection="1">
      <alignment horizontal="center"/>
    </xf>
    <xf numFmtId="49" fontId="28" fillId="8" borderId="1" xfId="17" applyNumberFormat="1" applyFont="1" applyFill="1" applyBorder="1" applyAlignment="1" applyProtection="1">
      <alignment horizontal="center"/>
    </xf>
    <xf numFmtId="0" fontId="28" fillId="0" borderId="1" xfId="17" applyFont="1" applyFill="1" applyBorder="1" applyAlignment="1" applyProtection="1">
      <alignment horizontal="center" vertical="center"/>
    </xf>
    <xf numFmtId="0" fontId="28" fillId="2" borderId="1" xfId="17" applyFont="1" applyFill="1" applyBorder="1" applyAlignment="1" applyProtection="1">
      <alignment horizontal="center" vertical="center"/>
    </xf>
    <xf numFmtId="167" fontId="61" fillId="3" borderId="1" xfId="8" applyNumberFormat="1" applyFont="1" applyFill="1" applyBorder="1" applyAlignment="1" applyProtection="1">
      <protection locked="0"/>
    </xf>
    <xf numFmtId="0" fontId="63" fillId="2" borderId="1" xfId="17" applyFont="1" applyFill="1" applyBorder="1" applyAlignment="1" applyProtection="1">
      <alignment horizontal="center" vertical="center" wrapText="1"/>
    </xf>
    <xf numFmtId="167" fontId="63" fillId="2" borderId="1" xfId="1" applyNumberFormat="1" applyFont="1" applyFill="1" applyBorder="1" applyAlignment="1" applyProtection="1">
      <alignment horizontal="center" wrapText="1"/>
    </xf>
    <xf numFmtId="0" fontId="64" fillId="2" borderId="1" xfId="17" applyFont="1" applyFill="1" applyBorder="1" applyAlignment="1" applyProtection="1">
      <alignment horizontal="center" vertical="center" wrapText="1"/>
    </xf>
    <xf numFmtId="3" fontId="64" fillId="2" borderId="1" xfId="17" applyNumberFormat="1" applyFont="1" applyFill="1" applyBorder="1" applyAlignment="1" applyProtection="1">
      <alignment horizontal="center" vertical="center" wrapText="1"/>
    </xf>
    <xf numFmtId="167" fontId="0" fillId="0" borderId="23" xfId="1" applyNumberFormat="1" applyFont="1" applyBorder="1" applyAlignment="1">
      <alignment horizontal="center"/>
    </xf>
    <xf numFmtId="43" fontId="0" fillId="0" borderId="0" xfId="0" applyNumberFormat="1"/>
    <xf numFmtId="1" fontId="66" fillId="0" borderId="22" xfId="0" applyNumberFormat="1" applyFont="1" applyBorder="1" applyProtection="1">
      <protection locked="0"/>
    </xf>
    <xf numFmtId="169" fontId="80" fillId="0" borderId="0" xfId="1" applyNumberFormat="1" applyFont="1"/>
    <xf numFmtId="0" fontId="78" fillId="14" borderId="64" xfId="0" applyNumberFormat="1" applyFont="1" applyFill="1" applyBorder="1" applyAlignment="1">
      <alignment horizontal="center" vertical="center" wrapText="1"/>
    </xf>
    <xf numFmtId="0" fontId="54" fillId="0" borderId="0" xfId="20" applyFont="1"/>
    <xf numFmtId="167" fontId="33" fillId="3" borderId="1" xfId="8" applyNumberFormat="1" applyFont="1" applyFill="1" applyBorder="1" applyAlignment="1" applyProtection="1">
      <protection locked="0"/>
    </xf>
    <xf numFmtId="167" fontId="35" fillId="3" borderId="1" xfId="8" applyNumberFormat="1" applyFont="1" applyFill="1" applyBorder="1" applyAlignment="1" applyProtection="1">
      <protection locked="0"/>
    </xf>
    <xf numFmtId="43" fontId="67" fillId="8" borderId="0" xfId="17" applyNumberFormat="1" applyFont="1" applyFill="1" applyBorder="1" applyAlignment="1" applyProtection="1">
      <alignment shrinkToFit="1"/>
    </xf>
    <xf numFmtId="167" fontId="9" fillId="8" borderId="1" xfId="8" applyNumberFormat="1" applyFont="1" applyFill="1" applyBorder="1" applyAlignment="1" applyProtection="1">
      <protection locked="0"/>
    </xf>
    <xf numFmtId="167" fontId="9" fillId="9" borderId="1" xfId="1" applyNumberFormat="1" applyFont="1" applyFill="1" applyBorder="1" applyAlignment="1" applyProtection="1"/>
    <xf numFmtId="167" fontId="9" fillId="15" borderId="1" xfId="1" applyNumberFormat="1" applyFont="1" applyFill="1" applyBorder="1" applyAlignment="1" applyProtection="1"/>
    <xf numFmtId="49" fontId="43" fillId="5" borderId="24" xfId="0" applyNumberFormat="1" applyFont="1" applyFill="1" applyBorder="1" applyAlignment="1" applyProtection="1">
      <alignment horizontal="center" shrinkToFit="1"/>
      <protection locked="0" hidden="1"/>
    </xf>
    <xf numFmtId="169" fontId="75" fillId="0" borderId="0" xfId="1" applyNumberFormat="1" applyFont="1"/>
    <xf numFmtId="169" fontId="75" fillId="0" borderId="65" xfId="1" applyNumberFormat="1" applyFont="1" applyBorder="1"/>
    <xf numFmtId="169" fontId="75" fillId="13" borderId="65" xfId="1" applyNumberFormat="1" applyFont="1" applyFill="1" applyBorder="1"/>
    <xf numFmtId="0" fontId="78" fillId="14" borderId="22" xfId="0" applyNumberFormat="1" applyFont="1" applyFill="1" applyBorder="1" applyAlignment="1">
      <alignment horizontal="center" vertical="center" wrapText="1"/>
    </xf>
    <xf numFmtId="3" fontId="65" fillId="12" borderId="25" xfId="0" applyNumberFormat="1" applyFont="1" applyFill="1" applyBorder="1"/>
    <xf numFmtId="0" fontId="78" fillId="14" borderId="66" xfId="0" applyNumberFormat="1" applyFont="1" applyFill="1" applyBorder="1" applyAlignment="1">
      <alignment horizontal="center" vertical="center" wrapText="1"/>
    </xf>
    <xf numFmtId="0" fontId="78" fillId="14" borderId="67" xfId="0" applyNumberFormat="1" applyFont="1" applyFill="1" applyBorder="1" applyAlignment="1">
      <alignment horizontal="center" vertical="center" wrapText="1"/>
    </xf>
    <xf numFmtId="169" fontId="75" fillId="13" borderId="68" xfId="1" applyNumberFormat="1" applyFont="1" applyFill="1" applyBorder="1"/>
    <xf numFmtId="169" fontId="75" fillId="0" borderId="33" xfId="1" applyNumberFormat="1" applyFont="1" applyBorder="1" applyProtection="1"/>
    <xf numFmtId="167" fontId="33" fillId="13" borderId="68" xfId="1" applyNumberFormat="1" applyFill="1" applyBorder="1"/>
    <xf numFmtId="9" fontId="0" fillId="0" borderId="19" xfId="1" applyNumberFormat="1" applyFont="1" applyBorder="1" applyAlignment="1" applyProtection="1"/>
    <xf numFmtId="0" fontId="56" fillId="9" borderId="39" xfId="0" applyNumberFormat="1" applyFont="1" applyFill="1" applyBorder="1" applyAlignment="1" applyProtection="1">
      <alignment horizontal="center"/>
    </xf>
    <xf numFmtId="0" fontId="56" fillId="9" borderId="26" xfId="0" applyNumberFormat="1" applyFont="1" applyFill="1" applyBorder="1" applyAlignment="1" applyProtection="1">
      <alignment horizontal="center"/>
    </xf>
    <xf numFmtId="0" fontId="17" fillId="2" borderId="1" xfId="17" applyFont="1" applyFill="1" applyBorder="1" applyAlignment="1" applyProtection="1">
      <alignment horizontal="center"/>
    </xf>
    <xf numFmtId="0" fontId="33" fillId="2" borderId="8" xfId="17" applyFont="1" applyFill="1" applyBorder="1" applyAlignment="1" applyProtection="1">
      <alignment horizontal="center"/>
    </xf>
    <xf numFmtId="0" fontId="70" fillId="8" borderId="3" xfId="17" applyNumberFormat="1" applyFont="1" applyFill="1" applyBorder="1" applyAlignment="1" applyProtection="1">
      <alignment horizontal="center"/>
    </xf>
    <xf numFmtId="0" fontId="70" fillId="0" borderId="3" xfId="17" applyNumberFormat="1" applyFont="1" applyFill="1" applyBorder="1" applyAlignment="1" applyProtection="1">
      <alignment horizontal="center"/>
    </xf>
    <xf numFmtId="49" fontId="70" fillId="8" borderId="1" xfId="17" applyNumberFormat="1" applyFont="1" applyFill="1" applyBorder="1" applyAlignment="1" applyProtection="1">
      <alignment horizontal="center"/>
    </xf>
    <xf numFmtId="0" fontId="70" fillId="0" borderId="1" xfId="17" applyNumberFormat="1" applyFont="1" applyFill="1" applyBorder="1" applyAlignment="1" applyProtection="1">
      <alignment horizontal="center"/>
    </xf>
    <xf numFmtId="0" fontId="70" fillId="8" borderId="1" xfId="17" applyNumberFormat="1" applyFont="1" applyFill="1" applyBorder="1" applyAlignment="1" applyProtection="1">
      <alignment horizontal="center"/>
    </xf>
    <xf numFmtId="0" fontId="70" fillId="8" borderId="2" xfId="17" applyNumberFormat="1" applyFont="1" applyFill="1" applyBorder="1" applyAlignment="1" applyProtection="1">
      <alignment horizontal="center"/>
    </xf>
    <xf numFmtId="167" fontId="33" fillId="8" borderId="0" xfId="1" applyNumberFormat="1" applyFill="1" applyBorder="1" applyAlignment="1" applyProtection="1"/>
    <xf numFmtId="0" fontId="17" fillId="0" borderId="1" xfId="17" applyNumberFormat="1" applyFont="1" applyFill="1" applyBorder="1" applyAlignment="1" applyProtection="1">
      <alignment horizontal="center"/>
    </xf>
    <xf numFmtId="167" fontId="14" fillId="3" borderId="1" xfId="1" applyNumberFormat="1" applyFont="1" applyFill="1" applyBorder="1" applyAlignment="1" applyProtection="1">
      <alignment horizontal="right"/>
      <protection locked="0"/>
    </xf>
    <xf numFmtId="0" fontId="17" fillId="2" borderId="1" xfId="17" applyNumberFormat="1" applyFont="1" applyFill="1" applyBorder="1" applyAlignment="1" applyProtection="1">
      <alignment textRotation="90"/>
    </xf>
    <xf numFmtId="0" fontId="17" fillId="0" borderId="1" xfId="17" applyFont="1" applyFill="1" applyBorder="1" applyAlignment="1" applyProtection="1">
      <alignment horizontal="center"/>
    </xf>
    <xf numFmtId="0" fontId="17" fillId="2" borderId="1" xfId="17" applyFont="1" applyFill="1" applyBorder="1" applyAlignment="1" applyProtection="1">
      <alignment horizontal="center" wrapText="1"/>
    </xf>
    <xf numFmtId="167" fontId="17" fillId="2" borderId="1" xfId="8" applyNumberFormat="1" applyFont="1" applyFill="1" applyBorder="1" applyAlignment="1" applyProtection="1">
      <alignment horizontal="center" wrapText="1"/>
    </xf>
    <xf numFmtId="0" fontId="14" fillId="2" borderId="1" xfId="17" applyFont="1" applyFill="1" applyBorder="1" applyAlignment="1" applyProtection="1">
      <alignment horizontal="center"/>
    </xf>
    <xf numFmtId="0" fontId="17" fillId="2" borderId="1" xfId="17" applyNumberFormat="1" applyFont="1" applyFill="1" applyBorder="1" applyAlignment="1" applyProtection="1">
      <alignment horizontal="left" wrapText="1"/>
    </xf>
    <xf numFmtId="0" fontId="17" fillId="2" borderId="1" xfId="17" applyFont="1" applyFill="1" applyBorder="1" applyAlignment="1" applyProtection="1">
      <alignment horizontal="center" vertical="center"/>
    </xf>
    <xf numFmtId="0" fontId="17" fillId="2" borderId="1" xfId="17" applyFont="1" applyFill="1" applyBorder="1" applyAlignment="1" applyProtection="1">
      <alignment horizontal="center" vertical="center" wrapText="1"/>
    </xf>
    <xf numFmtId="3" fontId="17" fillId="2" borderId="1" xfId="17" applyNumberFormat="1" applyFont="1" applyFill="1" applyBorder="1" applyAlignment="1" applyProtection="1">
      <alignment horizontal="center" vertical="center" wrapText="1"/>
    </xf>
    <xf numFmtId="0" fontId="14" fillId="2" borderId="63" xfId="17" applyFont="1" applyFill="1" applyBorder="1" applyAlignment="1" applyProtection="1">
      <alignment wrapText="1"/>
    </xf>
    <xf numFmtId="0" fontId="17" fillId="2" borderId="63" xfId="17" applyNumberFormat="1" applyFont="1" applyFill="1" applyBorder="1" applyAlignment="1" applyProtection="1">
      <alignment horizontal="center"/>
    </xf>
    <xf numFmtId="0" fontId="14" fillId="0" borderId="1" xfId="17" applyNumberFormat="1" applyFont="1" applyFill="1" applyBorder="1" applyAlignment="1" applyProtection="1">
      <alignment horizontal="left" wrapText="1"/>
    </xf>
    <xf numFmtId="167" fontId="14" fillId="11" borderId="1" xfId="1" applyNumberFormat="1" applyFont="1" applyFill="1" applyBorder="1" applyAlignment="1" applyProtection="1">
      <alignment horizontal="right"/>
      <protection locked="0"/>
    </xf>
    <xf numFmtId="0" fontId="14" fillId="2" borderId="1" xfId="17" applyNumberFormat="1" applyFont="1" applyFill="1" applyBorder="1" applyAlignment="1" applyProtection="1">
      <alignment horizontal="left" wrapText="1"/>
    </xf>
    <xf numFmtId="0" fontId="17" fillId="8" borderId="1" xfId="17" applyNumberFormat="1" applyFont="1" applyFill="1" applyBorder="1" applyAlignment="1" applyProtection="1">
      <alignment horizontal="center"/>
    </xf>
    <xf numFmtId="0" fontId="17" fillId="8" borderId="1" xfId="17" applyFont="1" applyFill="1" applyBorder="1" applyAlignment="1" applyProtection="1">
      <alignment horizontal="center"/>
    </xf>
    <xf numFmtId="167" fontId="83" fillId="3" borderId="1" xfId="1" applyNumberFormat="1" applyFont="1" applyFill="1" applyBorder="1" applyAlignment="1" applyProtection="1">
      <alignment horizontal="right"/>
      <protection locked="0"/>
    </xf>
    <xf numFmtId="0" fontId="84" fillId="2" borderId="0" xfId="17" applyFont="1" applyFill="1" applyBorder="1" applyAlignment="1" applyProtection="1"/>
    <xf numFmtId="0" fontId="84" fillId="2" borderId="0" xfId="17" applyNumberFormat="1" applyFont="1" applyFill="1" applyBorder="1" applyAlignment="1" applyProtection="1"/>
    <xf numFmtId="0" fontId="14" fillId="8" borderId="1" xfId="17" applyNumberFormat="1" applyFont="1" applyFill="1" applyBorder="1" applyAlignment="1" applyProtection="1">
      <alignment horizontal="left" wrapText="1"/>
    </xf>
    <xf numFmtId="0" fontId="17" fillId="2" borderId="43" xfId="17" applyNumberFormat="1" applyFont="1" applyFill="1" applyBorder="1" applyAlignment="1" applyProtection="1">
      <alignment horizontal="center" vertical="center" textRotation="90" wrapText="1"/>
    </xf>
    <xf numFmtId="167" fontId="14" fillId="3" borderId="2" xfId="1" applyNumberFormat="1" applyFont="1" applyFill="1" applyBorder="1" applyAlignment="1" applyProtection="1">
      <alignment horizontal="right"/>
      <protection locked="0"/>
    </xf>
    <xf numFmtId="0" fontId="14" fillId="2" borderId="0" xfId="17" applyFont="1" applyFill="1" applyBorder="1" applyAlignment="1" applyProtection="1">
      <alignment wrapText="1"/>
    </xf>
    <xf numFmtId="0" fontId="14" fillId="2" borderId="69" xfId="17" applyFont="1" applyFill="1" applyBorder="1" applyAlignment="1" applyProtection="1">
      <alignment wrapText="1"/>
    </xf>
    <xf numFmtId="0" fontId="17" fillId="2" borderId="69" xfId="17" applyNumberFormat="1" applyFont="1" applyFill="1" applyBorder="1" applyAlignment="1" applyProtection="1">
      <alignment horizontal="center"/>
    </xf>
    <xf numFmtId="0" fontId="17" fillId="2" borderId="2" xfId="17" applyNumberFormat="1" applyFont="1" applyFill="1" applyBorder="1" applyAlignment="1" applyProtection="1">
      <alignment textRotation="90"/>
    </xf>
    <xf numFmtId="0" fontId="17" fillId="0" borderId="2" xfId="17" applyFont="1" applyFill="1" applyBorder="1" applyAlignment="1" applyProtection="1">
      <alignment horizontal="center"/>
    </xf>
    <xf numFmtId="0" fontId="17" fillId="2" borderId="2" xfId="17" applyFont="1" applyFill="1" applyBorder="1" applyAlignment="1" applyProtection="1">
      <alignment horizontal="center" wrapText="1"/>
    </xf>
    <xf numFmtId="0" fontId="17" fillId="8" borderId="2" xfId="17" applyFont="1" applyFill="1" applyBorder="1" applyAlignment="1" applyProtection="1">
      <alignment horizontal="center"/>
    </xf>
    <xf numFmtId="167" fontId="17" fillId="2" borderId="2" xfId="1" applyNumberFormat="1" applyFont="1" applyFill="1" applyBorder="1" applyAlignment="1" applyProtection="1">
      <alignment horizontal="center" wrapText="1"/>
    </xf>
    <xf numFmtId="0" fontId="17" fillId="2" borderId="63" xfId="17" applyNumberFormat="1" applyFont="1" applyFill="1" applyBorder="1" applyAlignment="1" applyProtection="1">
      <alignment vertical="center" textRotation="90"/>
    </xf>
    <xf numFmtId="0" fontId="17" fillId="2" borderId="63" xfId="17" applyFont="1" applyFill="1" applyBorder="1" applyAlignment="1" applyProtection="1">
      <alignment horizontal="center" vertical="center"/>
    </xf>
    <xf numFmtId="0" fontId="17" fillId="2" borderId="63" xfId="17" applyFont="1" applyFill="1" applyBorder="1" applyAlignment="1" applyProtection="1">
      <alignment horizontal="center" vertical="center" wrapText="1"/>
    </xf>
    <xf numFmtId="0" fontId="17" fillId="8" borderId="63" xfId="17" applyFont="1" applyFill="1" applyBorder="1" applyAlignment="1" applyProtection="1">
      <alignment horizontal="center" vertical="center"/>
    </xf>
    <xf numFmtId="3" fontId="17" fillId="2" borderId="63" xfId="17" applyNumberFormat="1" applyFont="1" applyFill="1" applyBorder="1" applyAlignment="1" applyProtection="1">
      <alignment horizontal="center" vertical="center" wrapText="1"/>
    </xf>
    <xf numFmtId="0" fontId="14" fillId="0" borderId="63" xfId="17" applyFont="1" applyBorder="1" applyAlignment="1" applyProtection="1"/>
    <xf numFmtId="0" fontId="14" fillId="2" borderId="70" xfId="17" applyFont="1" applyFill="1" applyBorder="1" applyAlignment="1" applyProtection="1">
      <alignment horizontal="center"/>
    </xf>
    <xf numFmtId="0" fontId="14" fillId="2" borderId="70" xfId="17" applyNumberFormat="1" applyFont="1" applyFill="1" applyBorder="1" applyAlignment="1" applyProtection="1">
      <alignment wrapText="1"/>
    </xf>
    <xf numFmtId="0" fontId="17" fillId="2" borderId="71" xfId="17" applyNumberFormat="1" applyFont="1" applyFill="1" applyBorder="1" applyAlignment="1" applyProtection="1">
      <alignment horizontal="center"/>
    </xf>
    <xf numFmtId="0" fontId="14" fillId="2" borderId="71" xfId="17" applyNumberFormat="1" applyFont="1" applyFill="1" applyBorder="1" applyAlignment="1" applyProtection="1"/>
    <xf numFmtId="0" fontId="14" fillId="0" borderId="71" xfId="17" applyFont="1" applyBorder="1" applyAlignment="1" applyProtection="1"/>
    <xf numFmtId="9" fontId="0" fillId="0" borderId="19" xfId="1" applyNumberFormat="1" applyFont="1" applyBorder="1" applyAlignment="1" applyProtection="1">
      <alignment horizontal="right" wrapText="1"/>
    </xf>
    <xf numFmtId="167" fontId="14" fillId="9" borderId="1" xfId="1" applyNumberFormat="1" applyFont="1" applyFill="1" applyBorder="1" applyAlignment="1" applyProtection="1">
      <alignment horizontal="right"/>
      <protection locked="0"/>
    </xf>
    <xf numFmtId="0" fontId="17" fillId="2" borderId="72" xfId="17" applyNumberFormat="1" applyFont="1" applyFill="1" applyBorder="1" applyAlignment="1" applyProtection="1">
      <alignment horizontal="center"/>
    </xf>
    <xf numFmtId="0" fontId="14" fillId="2" borderId="19" xfId="17" applyFont="1" applyFill="1" applyBorder="1" applyAlignment="1" applyProtection="1">
      <alignment wrapText="1"/>
    </xf>
    <xf numFmtId="0" fontId="17" fillId="2" borderId="73" xfId="17" applyNumberFormat="1" applyFont="1" applyFill="1" applyBorder="1" applyAlignment="1" applyProtection="1">
      <alignment horizontal="center"/>
    </xf>
    <xf numFmtId="0" fontId="17" fillId="2" borderId="40" xfId="17" applyFont="1" applyFill="1" applyBorder="1" applyAlignment="1" applyProtection="1">
      <alignment horizontal="center" wrapText="1"/>
    </xf>
    <xf numFmtId="0" fontId="14" fillId="2" borderId="19" xfId="17" applyNumberFormat="1" applyFont="1" applyFill="1" applyBorder="1" applyAlignment="1" applyProtection="1">
      <alignment wrapText="1"/>
    </xf>
    <xf numFmtId="167" fontId="33" fillId="3" borderId="1" xfId="1" applyNumberFormat="1" applyFill="1" applyBorder="1" applyAlignment="1" applyProtection="1">
      <alignment horizontal="right"/>
      <protection locked="0"/>
    </xf>
    <xf numFmtId="167" fontId="33" fillId="2" borderId="1" xfId="1" applyNumberFormat="1" applyFill="1" applyBorder="1" applyAlignment="1" applyProtection="1">
      <alignment horizontal="center" wrapText="1"/>
    </xf>
    <xf numFmtId="167" fontId="33" fillId="2" borderId="1" xfId="1" applyNumberFormat="1" applyFill="1" applyBorder="1" applyAlignment="1" applyProtection="1">
      <alignment horizontal="center" vertical="center" wrapText="1"/>
    </xf>
    <xf numFmtId="167" fontId="33" fillId="3" borderId="2" xfId="1" applyNumberFormat="1" applyFill="1" applyBorder="1" applyAlignment="1" applyProtection="1">
      <alignment horizontal="right"/>
      <protection locked="0"/>
    </xf>
    <xf numFmtId="167" fontId="33" fillId="2" borderId="2" xfId="1" applyNumberFormat="1" applyFill="1" applyBorder="1" applyAlignment="1" applyProtection="1">
      <alignment horizontal="center" wrapText="1"/>
    </xf>
    <xf numFmtId="167" fontId="33" fillId="2" borderId="63" xfId="1" applyNumberFormat="1" applyFill="1" applyBorder="1" applyAlignment="1" applyProtection="1">
      <alignment horizontal="center" vertical="center" wrapText="1"/>
    </xf>
    <xf numFmtId="167" fontId="33" fillId="0" borderId="72" xfId="1" applyNumberFormat="1" applyBorder="1" applyAlignment="1" applyProtection="1"/>
    <xf numFmtId="167" fontId="34" fillId="3" borderId="1" xfId="1" applyNumberFormat="1" applyFont="1" applyFill="1" applyBorder="1" applyAlignment="1" applyProtection="1">
      <alignment horizontal="right"/>
      <protection locked="0"/>
    </xf>
    <xf numFmtId="167" fontId="34" fillId="8" borderId="1" xfId="1" applyNumberFormat="1" applyFont="1" applyFill="1" applyBorder="1" applyAlignment="1" applyProtection="1">
      <alignment horizontal="right"/>
      <protection locked="0"/>
    </xf>
    <xf numFmtId="167" fontId="14" fillId="8" borderId="1" xfId="1" applyNumberFormat="1" applyFont="1" applyFill="1" applyBorder="1" applyAlignment="1" applyProtection="1">
      <alignment horizontal="right"/>
      <protection locked="0"/>
    </xf>
    <xf numFmtId="167" fontId="33" fillId="8" borderId="1" xfId="1" applyNumberFormat="1" applyFill="1" applyBorder="1" applyAlignment="1" applyProtection="1">
      <alignment horizontal="right"/>
      <protection locked="0"/>
    </xf>
    <xf numFmtId="167" fontId="35" fillId="2" borderId="1" xfId="1" applyNumberFormat="1" applyFont="1" applyFill="1" applyBorder="1" applyAlignment="1" applyProtection="1">
      <alignment horizontal="center"/>
    </xf>
    <xf numFmtId="167" fontId="34" fillId="8" borderId="0" xfId="1" applyNumberFormat="1" applyFont="1" applyFill="1" applyBorder="1" applyAlignment="1" applyProtection="1">
      <alignment horizontal="right"/>
      <protection locked="0"/>
    </xf>
    <xf numFmtId="167" fontId="33" fillId="8" borderId="0" xfId="1" applyNumberFormat="1" applyFill="1" applyBorder="1" applyAlignment="1" applyProtection="1">
      <alignment horizontal="right"/>
      <protection locked="0"/>
    </xf>
    <xf numFmtId="0" fontId="82" fillId="0" borderId="0" xfId="0" applyFont="1" applyAlignment="1">
      <alignment horizontal="center"/>
    </xf>
    <xf numFmtId="0" fontId="73" fillId="0" borderId="0" xfId="1" applyNumberFormat="1" applyFont="1" applyProtection="1"/>
    <xf numFmtId="3" fontId="65" fillId="9" borderId="0" xfId="0" applyNumberFormat="1" applyFont="1" applyFill="1" applyBorder="1"/>
    <xf numFmtId="43" fontId="73" fillId="12" borderId="0" xfId="1" applyNumberFormat="1" applyFont="1" applyFill="1" applyProtection="1"/>
    <xf numFmtId="1" fontId="66" fillId="9" borderId="0" xfId="0" applyNumberFormat="1" applyFont="1" applyFill="1" applyBorder="1" applyProtection="1">
      <protection locked="0"/>
    </xf>
    <xf numFmtId="0" fontId="35" fillId="0" borderId="0" xfId="0" applyFont="1" applyAlignment="1" applyProtection="1">
      <alignment wrapText="1"/>
      <protection locked="0"/>
    </xf>
    <xf numFmtId="173" fontId="0" fillId="0" borderId="0" xfId="0" applyNumberFormat="1"/>
    <xf numFmtId="0" fontId="73" fillId="0" borderId="0" xfId="1" applyNumberFormat="1" applyFont="1" applyBorder="1" applyAlignment="1">
      <alignment horizontal="center"/>
    </xf>
    <xf numFmtId="169" fontId="73" fillId="0" borderId="0" xfId="1" applyNumberFormat="1" applyFont="1"/>
    <xf numFmtId="0" fontId="73" fillId="0" borderId="0" xfId="1" applyNumberFormat="1" applyFont="1"/>
    <xf numFmtId="10" fontId="73" fillId="0" borderId="0" xfId="33" applyNumberFormat="1" applyFont="1"/>
    <xf numFmtId="169" fontId="73" fillId="0" borderId="65" xfId="1" applyNumberFormat="1" applyFont="1" applyBorder="1"/>
    <xf numFmtId="0" fontId="73" fillId="0" borderId="0" xfId="1" applyNumberFormat="1" applyFont="1" applyBorder="1" applyAlignment="1"/>
    <xf numFmtId="169" fontId="73" fillId="13" borderId="65" xfId="1" applyNumberFormat="1" applyFont="1" applyFill="1" applyBorder="1"/>
    <xf numFmtId="0" fontId="73" fillId="0" borderId="0" xfId="33" applyNumberFormat="1" applyFont="1"/>
    <xf numFmtId="0" fontId="73" fillId="13" borderId="65" xfId="1" applyNumberFormat="1" applyFont="1" applyFill="1" applyBorder="1"/>
    <xf numFmtId="0" fontId="73" fillId="0" borderId="42" xfId="1" applyNumberFormat="1" applyFont="1" applyBorder="1"/>
    <xf numFmtId="0" fontId="73" fillId="13" borderId="22" xfId="1" applyNumberFormat="1" applyFont="1" applyFill="1" applyBorder="1"/>
    <xf numFmtId="0" fontId="73" fillId="0" borderId="41" xfId="1" applyNumberFormat="1" applyFont="1" applyBorder="1"/>
    <xf numFmtId="169" fontId="73" fillId="13" borderId="68" xfId="1" applyNumberFormat="1" applyFont="1" applyFill="1" applyBorder="1"/>
    <xf numFmtId="0" fontId="73" fillId="13" borderId="74" xfId="1" applyNumberFormat="1" applyFont="1" applyFill="1" applyBorder="1" applyAlignment="1"/>
    <xf numFmtId="0" fontId="73" fillId="13" borderId="74" xfId="1" applyNumberFormat="1" applyFont="1" applyFill="1" applyBorder="1" applyAlignment="1"/>
    <xf numFmtId="167" fontId="61" fillId="8" borderId="1" xfId="8" applyNumberFormat="1" applyFont="1" applyFill="1" applyBorder="1" applyAlignment="1" applyProtection="1">
      <protection locked="0"/>
    </xf>
    <xf numFmtId="169" fontId="0" fillId="0" borderId="0" xfId="0" applyNumberFormat="1"/>
    <xf numFmtId="0" fontId="73" fillId="13" borderId="74" xfId="1" applyNumberFormat="1" applyFont="1" applyFill="1" applyBorder="1" applyAlignment="1">
      <alignment wrapText="1"/>
    </xf>
    <xf numFmtId="174" fontId="0" fillId="0" borderId="0" xfId="33" applyNumberFormat="1" applyFont="1"/>
    <xf numFmtId="169" fontId="75" fillId="13" borderId="22" xfId="1" applyNumberFormat="1" applyFont="1" applyFill="1" applyBorder="1"/>
    <xf numFmtId="43" fontId="8" fillId="13" borderId="74" xfId="1" applyNumberFormat="1" applyFont="1" applyFill="1" applyBorder="1" applyAlignment="1">
      <alignment horizontal="center"/>
    </xf>
    <xf numFmtId="169" fontId="8" fillId="13" borderId="68" xfId="1" applyNumberFormat="1" applyFont="1" applyFill="1" applyBorder="1"/>
    <xf numFmtId="0" fontId="8" fillId="0" borderId="79" xfId="1" applyNumberFormat="1" applyFont="1" applyBorder="1" applyAlignment="1"/>
    <xf numFmtId="167" fontId="33" fillId="2" borderId="8" xfId="1" applyNumberFormat="1" applyFill="1" applyBorder="1" applyAlignment="1" applyProtection="1">
      <alignment horizontal="center" vertical="center" wrapText="1"/>
    </xf>
    <xf numFmtId="169" fontId="75" fillId="13" borderId="30" xfId="1" applyNumberFormat="1" applyFont="1" applyFill="1" applyBorder="1" applyAlignment="1"/>
    <xf numFmtId="169" fontId="75" fillId="13" borderId="32" xfId="1" applyNumberFormat="1" applyFont="1" applyFill="1" applyBorder="1"/>
    <xf numFmtId="167" fontId="20" fillId="18" borderId="0" xfId="17" applyNumberFormat="1" applyFont="1" applyFill="1" applyBorder="1" applyAlignment="1" applyProtection="1"/>
    <xf numFmtId="0" fontId="93" fillId="16" borderId="0" xfId="39" applyFont="1" applyFill="1"/>
    <xf numFmtId="0" fontId="80" fillId="16" borderId="0" xfId="39" applyFont="1" applyFill="1"/>
    <xf numFmtId="0" fontId="96" fillId="16" borderId="0" xfId="39" applyFont="1" applyFill="1"/>
    <xf numFmtId="0" fontId="35" fillId="0" borderId="28" xfId="0" applyNumberFormat="1" applyFont="1" applyBorder="1" applyAlignment="1" applyProtection="1">
      <alignment horizontal="center"/>
    </xf>
    <xf numFmtId="0" fontId="56" fillId="0" borderId="28" xfId="0" applyNumberFormat="1" applyFont="1" applyBorder="1" applyAlignment="1" applyProtection="1">
      <alignment horizontal="center" wrapText="1"/>
    </xf>
    <xf numFmtId="0" fontId="56" fillId="0" borderId="28" xfId="0" applyNumberFormat="1" applyFont="1" applyBorder="1" applyAlignment="1" applyProtection="1">
      <alignment horizontal="center"/>
    </xf>
    <xf numFmtId="165" fontId="33" fillId="8" borderId="19" xfId="1" applyFill="1" applyBorder="1" applyAlignment="1" applyProtection="1">
      <protection locked="0"/>
    </xf>
    <xf numFmtId="0" fontId="19" fillId="2" borderId="1" xfId="17" applyFont="1" applyFill="1" applyBorder="1" applyAlignment="1" applyProtection="1">
      <alignment horizontal="center" vertical="center"/>
    </xf>
    <xf numFmtId="0" fontId="19" fillId="2" borderId="1" xfId="17" applyFont="1" applyFill="1" applyBorder="1" applyAlignment="1" applyProtection="1">
      <alignment horizontal="center"/>
    </xf>
    <xf numFmtId="0" fontId="15" fillId="2" borderId="1" xfId="17" applyFont="1" applyFill="1" applyBorder="1" applyAlignment="1" applyProtection="1">
      <alignment horizontal="center"/>
    </xf>
    <xf numFmtId="0" fontId="15" fillId="0" borderId="1" xfId="17" applyFont="1" applyFill="1" applyBorder="1" applyAlignment="1" applyProtection="1">
      <alignment horizontal="center"/>
    </xf>
    <xf numFmtId="0" fontId="15" fillId="3" borderId="1" xfId="17" applyFont="1" applyFill="1" applyBorder="1" applyAlignment="1" applyProtection="1">
      <alignment horizontal="center"/>
      <protection locked="0"/>
    </xf>
    <xf numFmtId="49" fontId="9" fillId="2" borderId="1" xfId="17" applyNumberFormat="1" applyFont="1" applyFill="1" applyBorder="1" applyAlignment="1" applyProtection="1">
      <alignment horizontal="left"/>
    </xf>
    <xf numFmtId="167" fontId="30" fillId="0" borderId="1" xfId="5" applyNumberFormat="1" applyFont="1" applyFill="1" applyBorder="1" applyAlignment="1" applyProtection="1">
      <alignment horizontal="center" wrapText="1"/>
    </xf>
    <xf numFmtId="167" fontId="30" fillId="0" borderId="1" xfId="5" applyNumberFormat="1" applyFont="1" applyFill="1" applyBorder="1" applyAlignment="1" applyProtection="1">
      <alignment horizontal="center"/>
    </xf>
    <xf numFmtId="0" fontId="15" fillId="0" borderId="1" xfId="17" applyFont="1" applyFill="1" applyBorder="1" applyAlignment="1" applyProtection="1">
      <alignment horizontal="center" wrapText="1"/>
    </xf>
    <xf numFmtId="0" fontId="30" fillId="0" borderId="1" xfId="17" applyFont="1" applyFill="1" applyBorder="1" applyAlignment="1" applyProtection="1">
      <alignment horizontal="center" wrapText="1"/>
    </xf>
    <xf numFmtId="167" fontId="30" fillId="3" borderId="1" xfId="5" applyNumberFormat="1" applyFont="1" applyFill="1" applyBorder="1" applyAlignment="1" applyProtection="1">
      <alignment horizontal="center" wrapText="1"/>
      <protection locked="0"/>
    </xf>
    <xf numFmtId="1" fontId="15" fillId="3" borderId="9" xfId="17" applyNumberFormat="1" applyFont="1" applyFill="1" applyBorder="1" applyAlignment="1" applyProtection="1">
      <alignment horizontal="center" wrapText="1"/>
      <protection locked="0"/>
    </xf>
    <xf numFmtId="0" fontId="61" fillId="8" borderId="2" xfId="17" applyFont="1" applyFill="1" applyBorder="1" applyAlignment="1" applyProtection="1">
      <alignment horizontal="center"/>
    </xf>
    <xf numFmtId="167" fontId="22" fillId="3" borderId="2" xfId="8" applyNumberFormat="1" applyFont="1" applyFill="1" applyBorder="1" applyAlignment="1" applyProtection="1">
      <protection locked="0"/>
    </xf>
    <xf numFmtId="49" fontId="19" fillId="2" borderId="85" xfId="17" applyNumberFormat="1" applyFont="1" applyFill="1" applyBorder="1" applyAlignment="1" applyProtection="1">
      <alignment horizontal="right"/>
    </xf>
    <xf numFmtId="49" fontId="19" fillId="2" borderId="87" xfId="17" applyNumberFormat="1" applyFont="1" applyFill="1" applyBorder="1" applyAlignment="1" applyProtection="1">
      <alignment horizontal="center" vertical="center"/>
    </xf>
    <xf numFmtId="166" fontId="19" fillId="2" borderId="87" xfId="17" applyNumberFormat="1" applyFont="1" applyFill="1" applyBorder="1" applyAlignment="1" applyProtection="1">
      <alignment horizontal="center" vertical="center" wrapText="1"/>
    </xf>
    <xf numFmtId="0" fontId="28" fillId="2" borderId="86" xfId="17" applyNumberFormat="1" applyFont="1" applyFill="1" applyBorder="1" applyAlignment="1" applyProtection="1">
      <alignment vertical="center" textRotation="90"/>
    </xf>
    <xf numFmtId="167" fontId="63" fillId="2" borderId="87" xfId="1" applyNumberFormat="1" applyFont="1" applyFill="1" applyBorder="1" applyAlignment="1" applyProtection="1">
      <alignment horizontal="center" wrapText="1"/>
    </xf>
    <xf numFmtId="0" fontId="15" fillId="2" borderId="86" xfId="17" applyNumberFormat="1" applyFont="1" applyFill="1" applyBorder="1" applyAlignment="1" applyProtection="1">
      <alignment vertical="center" textRotation="90"/>
    </xf>
    <xf numFmtId="3" fontId="64" fillId="2" borderId="87" xfId="17" applyNumberFormat="1" applyFont="1" applyFill="1" applyBorder="1" applyAlignment="1" applyProtection="1">
      <alignment horizontal="center" vertical="center" wrapText="1"/>
    </xf>
    <xf numFmtId="167" fontId="61" fillId="8" borderId="87" xfId="8" applyNumberFormat="1" applyFont="1" applyFill="1" applyBorder="1" applyAlignment="1" applyProtection="1">
      <protection locked="0"/>
    </xf>
    <xf numFmtId="167" fontId="22" fillId="3" borderId="87" xfId="8" applyNumberFormat="1" applyFont="1" applyFill="1" applyBorder="1" applyAlignment="1" applyProtection="1">
      <protection locked="0"/>
    </xf>
    <xf numFmtId="167" fontId="79" fillId="3" borderId="87" xfId="8" applyNumberFormat="1" applyFont="1" applyFill="1" applyBorder="1" applyAlignment="1" applyProtection="1">
      <protection locked="0"/>
    </xf>
    <xf numFmtId="0" fontId="70" fillId="0" borderId="0" xfId="0" applyFont="1" applyBorder="1" applyAlignment="1">
      <alignment horizontal="center"/>
    </xf>
    <xf numFmtId="167" fontId="22" fillId="3" borderId="89" xfId="8" applyNumberFormat="1" applyFont="1" applyFill="1" applyBorder="1" applyAlignment="1" applyProtection="1">
      <protection locked="0"/>
    </xf>
    <xf numFmtId="0" fontId="9" fillId="2" borderId="81" xfId="17" applyFont="1" applyFill="1" applyBorder="1" applyAlignment="1" applyProtection="1"/>
    <xf numFmtId="0" fontId="15" fillId="2" borderId="29" xfId="17" applyNumberFormat="1" applyFont="1" applyFill="1" applyBorder="1" applyAlignment="1" applyProtection="1">
      <alignment horizontal="center"/>
    </xf>
    <xf numFmtId="0" fontId="9" fillId="2" borderId="29" xfId="17" applyNumberFormat="1" applyFont="1" applyFill="1" applyBorder="1" applyAlignment="1" applyProtection="1"/>
    <xf numFmtId="0" fontId="64" fillId="0" borderId="29" xfId="17" applyFont="1" applyBorder="1" applyAlignment="1" applyProtection="1"/>
    <xf numFmtId="168" fontId="9" fillId="2" borderId="82" xfId="22" applyNumberFormat="1" applyFont="1" applyFill="1" applyBorder="1" applyAlignment="1" applyProtection="1">
      <alignment horizontal="center"/>
    </xf>
    <xf numFmtId="49" fontId="15" fillId="2" borderId="87" xfId="17" applyNumberFormat="1" applyFont="1" applyFill="1" applyBorder="1" applyAlignment="1" applyProtection="1">
      <alignment horizontal="center"/>
    </xf>
    <xf numFmtId="49" fontId="15" fillId="3" borderId="87" xfId="17" applyNumberFormat="1" applyFont="1" applyFill="1" applyBorder="1" applyAlignment="1" applyProtection="1">
      <alignment horizontal="center"/>
      <protection locked="0"/>
    </xf>
    <xf numFmtId="0" fontId="15" fillId="3" borderId="90" xfId="17" applyFont="1" applyFill="1" applyBorder="1" applyAlignment="1" applyProtection="1">
      <alignment horizontal="center" wrapText="1"/>
      <protection locked="0"/>
    </xf>
    <xf numFmtId="0" fontId="9" fillId="2" borderId="86" xfId="17" applyFont="1" applyFill="1" applyBorder="1" applyAlignment="1" applyProtection="1">
      <alignment horizontal="center" wrapText="1"/>
    </xf>
    <xf numFmtId="167" fontId="19" fillId="0" borderId="87" xfId="1" applyNumberFormat="1" applyFont="1" applyFill="1" applyBorder="1" applyAlignment="1" applyProtection="1">
      <alignment horizontal="center" wrapText="1"/>
    </xf>
    <xf numFmtId="0" fontId="15" fillId="2" borderId="86" xfId="17" applyNumberFormat="1" applyFont="1" applyFill="1" applyBorder="1" applyAlignment="1" applyProtection="1">
      <alignment textRotation="90"/>
    </xf>
    <xf numFmtId="3" fontId="19" fillId="2" borderId="87" xfId="17" applyNumberFormat="1" applyFont="1" applyFill="1" applyBorder="1" applyAlignment="1" applyProtection="1">
      <alignment horizontal="center" wrapText="1"/>
    </xf>
    <xf numFmtId="167" fontId="9" fillId="3" borderId="87" xfId="8" applyNumberFormat="1" applyFont="1" applyFill="1" applyBorder="1" applyAlignment="1" applyProtection="1">
      <protection locked="0" hidden="1"/>
    </xf>
    <xf numFmtId="0" fontId="15" fillId="2" borderId="86" xfId="17" applyFont="1" applyFill="1" applyBorder="1" applyAlignment="1" applyProtection="1">
      <alignment textRotation="90"/>
    </xf>
    <xf numFmtId="167" fontId="35" fillId="3" borderId="87" xfId="8" applyNumberFormat="1" applyFont="1" applyFill="1" applyBorder="1" applyAlignment="1" applyProtection="1">
      <protection locked="0" hidden="1"/>
    </xf>
    <xf numFmtId="167" fontId="9" fillId="8" borderId="87" xfId="8" applyNumberFormat="1" applyFont="1" applyFill="1" applyBorder="1" applyAlignment="1" applyProtection="1">
      <protection locked="0" hidden="1"/>
    </xf>
    <xf numFmtId="0" fontId="15" fillId="2" borderId="88" xfId="17" applyFont="1" applyFill="1" applyBorder="1" applyAlignment="1" applyProtection="1">
      <alignment textRotation="90"/>
    </xf>
    <xf numFmtId="167" fontId="15" fillId="2" borderId="87" xfId="1" applyNumberFormat="1" applyFont="1" applyFill="1" applyBorder="1" applyAlignment="1" applyProtection="1">
      <alignment horizontal="center"/>
      <protection locked="0" hidden="1"/>
    </xf>
    <xf numFmtId="167" fontId="9" fillId="17" borderId="87" xfId="8" applyNumberFormat="1" applyFont="1" applyFill="1" applyBorder="1" applyAlignment="1" applyProtection="1">
      <protection locked="0" hidden="1"/>
    </xf>
    <xf numFmtId="0" fontId="15" fillId="2" borderId="86" xfId="17" applyNumberFormat="1" applyFont="1" applyFill="1" applyBorder="1" applyAlignment="1" applyProtection="1">
      <alignment horizontal="center" vertical="center" textRotation="90"/>
    </xf>
    <xf numFmtId="167" fontId="15" fillId="2" borderId="87" xfId="1" applyNumberFormat="1" applyFont="1" applyFill="1" applyBorder="1" applyAlignment="1" applyProtection="1"/>
    <xf numFmtId="167" fontId="9" fillId="2" borderId="87" xfId="1" applyNumberFormat="1" applyFont="1" applyFill="1" applyBorder="1" applyAlignment="1" applyProtection="1"/>
    <xf numFmtId="0" fontId="9" fillId="2" borderId="93" xfId="17" applyFont="1" applyFill="1" applyBorder="1" applyAlignment="1" applyProtection="1">
      <alignment horizontal="center"/>
    </xf>
    <xf numFmtId="168" fontId="9" fillId="3" borderId="87" xfId="22" applyNumberFormat="1" applyFont="1" applyFill="1" applyBorder="1" applyAlignment="1" applyProtection="1">
      <alignment horizontal="center" vertical="center"/>
      <protection locked="0"/>
    </xf>
    <xf numFmtId="49" fontId="15" fillId="0" borderId="87" xfId="17" applyNumberFormat="1" applyFont="1" applyBorder="1" applyAlignment="1" applyProtection="1">
      <alignment horizontal="center"/>
    </xf>
    <xf numFmtId="166" fontId="15" fillId="3" borderId="87" xfId="17" applyNumberFormat="1" applyFont="1" applyFill="1" applyBorder="1" applyAlignment="1" applyProtection="1">
      <alignment horizontal="center"/>
      <protection locked="0"/>
    </xf>
    <xf numFmtId="0" fontId="15" fillId="0" borderId="86" xfId="17" applyFont="1" applyBorder="1" applyAlignment="1" applyProtection="1">
      <alignment textRotation="90"/>
    </xf>
    <xf numFmtId="167" fontId="15" fillId="2" borderId="87" xfId="1" applyNumberFormat="1" applyFont="1" applyFill="1" applyBorder="1" applyAlignment="1" applyProtection="1">
      <alignment horizontal="center" wrapText="1"/>
    </xf>
    <xf numFmtId="0" fontId="15" fillId="0" borderId="86" xfId="17" applyFont="1" applyBorder="1" applyAlignment="1" applyProtection="1">
      <alignment vertical="center" textRotation="90"/>
    </xf>
    <xf numFmtId="167" fontId="9" fillId="3" borderId="87" xfId="1" applyNumberFormat="1" applyFont="1" applyFill="1" applyBorder="1" applyAlignment="1" applyProtection="1">
      <alignment horizontal="right"/>
      <protection locked="0"/>
    </xf>
    <xf numFmtId="168" fontId="9" fillId="3" borderId="100" xfId="22" applyNumberFormat="1" applyFont="1" applyFill="1" applyBorder="1" applyAlignment="1" applyProtection="1">
      <alignment horizontal="center" vertical="center"/>
      <protection locked="0"/>
    </xf>
    <xf numFmtId="168" fontId="9" fillId="8" borderId="0" xfId="22" applyNumberFormat="1" applyFont="1" applyFill="1" applyBorder="1" applyAlignment="1" applyProtection="1">
      <alignment horizontal="center" vertical="center"/>
      <protection locked="0"/>
    </xf>
    <xf numFmtId="0" fontId="17" fillId="0" borderId="101" xfId="17" applyFont="1" applyBorder="1" applyAlignment="1" applyProtection="1">
      <alignment vertical="center"/>
    </xf>
    <xf numFmtId="0" fontId="17" fillId="0" borderId="102" xfId="17" applyFont="1" applyBorder="1" applyAlignment="1" applyProtection="1">
      <alignment vertical="center"/>
    </xf>
    <xf numFmtId="0" fontId="17" fillId="9" borderId="102" xfId="17" applyNumberFormat="1" applyFont="1" applyFill="1" applyBorder="1" applyAlignment="1" applyProtection="1">
      <alignment wrapText="1"/>
    </xf>
    <xf numFmtId="0" fontId="17" fillId="2" borderId="103" xfId="17" applyNumberFormat="1" applyFont="1" applyFill="1" applyBorder="1" applyAlignment="1" applyProtection="1">
      <alignment horizontal="center"/>
    </xf>
    <xf numFmtId="0" fontId="22" fillId="2" borderId="1" xfId="17" applyFont="1" applyFill="1" applyBorder="1" applyAlignment="1" applyProtection="1">
      <alignment vertical="top" wrapText="1"/>
    </xf>
    <xf numFmtId="0" fontId="22" fillId="2" borderId="1" xfId="17" applyFont="1" applyFill="1" applyBorder="1" applyAlignment="1" applyProtection="1">
      <alignment wrapText="1"/>
    </xf>
    <xf numFmtId="166" fontId="15" fillId="0" borderId="87" xfId="1" applyNumberFormat="1" applyFont="1" applyFill="1" applyBorder="1" applyAlignment="1" applyProtection="1">
      <alignment horizontal="center"/>
    </xf>
    <xf numFmtId="0" fontId="15" fillId="2" borderId="87" xfId="17" applyFont="1" applyFill="1" applyBorder="1" applyAlignment="1" applyProtection="1">
      <alignment horizontal="center"/>
    </xf>
    <xf numFmtId="167" fontId="9" fillId="3" borderId="87" xfId="3" applyNumberFormat="1" applyFont="1" applyFill="1" applyBorder="1" applyAlignment="1" applyProtection="1">
      <alignment horizontal="center"/>
      <protection locked="0"/>
    </xf>
    <xf numFmtId="167" fontId="9" fillId="11" borderId="87" xfId="3" applyNumberFormat="1" applyFont="1" applyFill="1" applyBorder="1" applyAlignment="1" applyProtection="1">
      <alignment horizontal="center"/>
      <protection locked="0"/>
    </xf>
    <xf numFmtId="167" fontId="14" fillId="3" borderId="87" xfId="3" applyNumberFormat="1" applyFont="1" applyFill="1" applyBorder="1" applyAlignment="1" applyProtection="1">
      <alignment horizontal="center"/>
      <protection locked="0"/>
    </xf>
    <xf numFmtId="0" fontId="14" fillId="2" borderId="29" xfId="17" applyFont="1" applyFill="1" applyBorder="1" applyAlignment="1" applyProtection="1">
      <alignment horizontal="center"/>
    </xf>
    <xf numFmtId="0" fontId="17" fillId="0" borderId="29" xfId="17" applyFont="1" applyBorder="1" applyAlignment="1" applyProtection="1">
      <alignment horizontal="center"/>
    </xf>
    <xf numFmtId="168" fontId="14" fillId="2" borderId="105" xfId="22" applyNumberFormat="1" applyFont="1" applyFill="1" applyBorder="1" applyAlignment="1" applyProtection="1"/>
    <xf numFmtId="0" fontId="102" fillId="2" borderId="29" xfId="17" applyFont="1" applyFill="1" applyBorder="1" applyAlignment="1" applyProtection="1">
      <alignment horizontal="left"/>
    </xf>
    <xf numFmtId="49" fontId="15" fillId="0" borderId="85" xfId="17" applyNumberFormat="1" applyFont="1" applyFill="1" applyBorder="1" applyAlignment="1" applyProtection="1">
      <alignment horizontal="right"/>
    </xf>
    <xf numFmtId="49" fontId="15" fillId="0" borderId="87" xfId="17" applyNumberFormat="1" applyFont="1" applyFill="1" applyBorder="1" applyAlignment="1" applyProtection="1">
      <alignment horizontal="center"/>
    </xf>
    <xf numFmtId="166" fontId="15" fillId="8" borderId="87" xfId="17" applyNumberFormat="1" applyFont="1" applyFill="1" applyBorder="1" applyAlignment="1" applyProtection="1">
      <alignment horizontal="center"/>
      <protection locked="0"/>
    </xf>
    <xf numFmtId="166" fontId="81" fillId="8" borderId="87" xfId="17" applyNumberFormat="1" applyFont="1" applyFill="1" applyBorder="1" applyAlignment="1" applyProtection="1">
      <alignment horizontal="center"/>
      <protection locked="0"/>
    </xf>
    <xf numFmtId="1" fontId="15" fillId="3" borderId="90" xfId="17" applyNumberFormat="1" applyFont="1" applyFill="1" applyBorder="1" applyAlignment="1" applyProtection="1">
      <alignment horizontal="center" wrapText="1"/>
      <protection locked="0"/>
    </xf>
    <xf numFmtId="0" fontId="15" fillId="2" borderId="87" xfId="17" applyFont="1" applyFill="1" applyBorder="1" applyAlignment="1" applyProtection="1"/>
    <xf numFmtId="0" fontId="15" fillId="0" borderId="87" xfId="17" applyFont="1" applyFill="1" applyBorder="1" applyAlignment="1" applyProtection="1">
      <alignment horizontal="center"/>
    </xf>
    <xf numFmtId="0" fontId="15" fillId="3" borderId="87" xfId="17" applyFont="1" applyFill="1" applyBorder="1" applyAlignment="1" applyProtection="1">
      <protection locked="0"/>
    </xf>
    <xf numFmtId="0" fontId="9" fillId="0" borderId="95" xfId="17" applyFont="1" applyFill="1" applyBorder="1" applyAlignment="1" applyProtection="1"/>
    <xf numFmtId="49" fontId="9" fillId="0" borderId="96" xfId="17" applyNumberFormat="1" applyFont="1" applyFill="1" applyBorder="1" applyAlignment="1" applyProtection="1">
      <alignment horizontal="center"/>
    </xf>
    <xf numFmtId="0" fontId="9" fillId="0" borderId="96" xfId="17" applyFont="1" applyFill="1" applyBorder="1" applyAlignment="1" applyProtection="1">
      <alignment wrapText="1"/>
    </xf>
    <xf numFmtId="0" fontId="9" fillId="0" borderId="96" xfId="17" applyFont="1" applyFill="1" applyBorder="1" applyAlignment="1" applyProtection="1"/>
    <xf numFmtId="0" fontId="15" fillId="0" borderId="96" xfId="17" applyFont="1" applyFill="1" applyBorder="1" applyAlignment="1" applyProtection="1">
      <alignment horizontal="center"/>
    </xf>
    <xf numFmtId="166" fontId="15" fillId="2" borderId="87" xfId="17" applyNumberFormat="1" applyFont="1" applyFill="1" applyBorder="1" applyAlignment="1" applyProtection="1">
      <alignment horizontal="center"/>
    </xf>
    <xf numFmtId="168" fontId="9" fillId="2" borderId="100" xfId="18" applyNumberFormat="1" applyFont="1" applyFill="1" applyBorder="1" applyAlignment="1" applyProtection="1">
      <alignment horizontal="center"/>
    </xf>
    <xf numFmtId="0" fontId="15" fillId="0" borderId="86" xfId="17" applyFont="1" applyFill="1" applyBorder="1" applyAlignment="1" applyProtection="1">
      <alignment horizontal="center" vertical="center" textRotation="90"/>
    </xf>
    <xf numFmtId="0" fontId="15" fillId="0" borderId="86" xfId="17" applyFont="1" applyFill="1" applyBorder="1" applyAlignment="1" applyProtection="1">
      <alignment textRotation="90"/>
    </xf>
    <xf numFmtId="0" fontId="15" fillId="3" borderId="89" xfId="17" applyFont="1" applyFill="1" applyBorder="1" applyAlignment="1" applyProtection="1">
      <protection locked="0"/>
    </xf>
    <xf numFmtId="0" fontId="9" fillId="0" borderId="107" xfId="17" applyFont="1" applyFill="1" applyBorder="1" applyAlignment="1" applyProtection="1">
      <alignment wrapText="1"/>
    </xf>
    <xf numFmtId="0" fontId="9" fillId="0" borderId="107" xfId="17" applyFont="1" applyFill="1" applyBorder="1" applyAlignment="1" applyProtection="1"/>
    <xf numFmtId="0" fontId="15" fillId="0" borderId="108" xfId="17" applyFont="1" applyBorder="1" applyAlignment="1" applyProtection="1">
      <alignment horizontal="center"/>
    </xf>
    <xf numFmtId="167" fontId="9" fillId="8" borderId="87" xfId="1" applyNumberFormat="1" applyFont="1" applyFill="1" applyBorder="1" applyAlignment="1" applyProtection="1">
      <alignment horizontal="right"/>
      <protection locked="0"/>
    </xf>
    <xf numFmtId="0" fontId="15" fillId="0" borderId="1" xfId="17" applyFont="1" applyFill="1" applyBorder="1" applyAlignment="1" applyProtection="1">
      <alignment horizontal="center"/>
    </xf>
    <xf numFmtId="0" fontId="15" fillId="0" borderId="1" xfId="18" applyFont="1" applyBorder="1" applyAlignment="1" applyProtection="1">
      <alignment horizontal="center"/>
    </xf>
    <xf numFmtId="167" fontId="15" fillId="2" borderId="1" xfId="1" applyNumberFormat="1" applyFont="1" applyFill="1" applyBorder="1" applyAlignment="1" applyProtection="1">
      <alignment horizontal="center"/>
    </xf>
    <xf numFmtId="0" fontId="9" fillId="0" borderId="2" xfId="18" applyFont="1" applyFill="1" applyBorder="1" applyAlignment="1" applyProtection="1">
      <alignment horizontal="center"/>
    </xf>
    <xf numFmtId="0" fontId="15" fillId="3" borderId="2" xfId="18" applyFont="1" applyFill="1" applyBorder="1" applyAlignment="1" applyProtection="1">
      <protection locked="0"/>
    </xf>
    <xf numFmtId="0" fontId="9" fillId="0" borderId="2" xfId="18" applyNumberFormat="1" applyFont="1" applyFill="1" applyBorder="1" applyAlignment="1" applyProtection="1">
      <alignment horizontal="center"/>
    </xf>
    <xf numFmtId="49" fontId="15" fillId="0" borderId="87" xfId="18" applyNumberFormat="1" applyFont="1" applyBorder="1" applyAlignment="1" applyProtection="1">
      <alignment horizontal="center"/>
    </xf>
    <xf numFmtId="166" fontId="15" fillId="3" borderId="87" xfId="18" applyNumberFormat="1" applyFont="1" applyFill="1" applyBorder="1" applyAlignment="1" applyProtection="1">
      <alignment horizontal="center"/>
      <protection locked="0"/>
    </xf>
    <xf numFmtId="0" fontId="9" fillId="0" borderId="86" xfId="18" applyFont="1" applyBorder="1" applyAlignment="1" applyProtection="1">
      <alignment horizontal="center"/>
    </xf>
    <xf numFmtId="0" fontId="15" fillId="0" borderId="87" xfId="18" applyFont="1" applyBorder="1" applyAlignment="1" applyProtection="1">
      <alignment horizontal="center"/>
    </xf>
    <xf numFmtId="167" fontId="9" fillId="8" borderId="87" xfId="1" applyNumberFormat="1" applyFont="1" applyFill="1" applyBorder="1" applyAlignment="1" applyProtection="1">
      <protection locked="0"/>
    </xf>
    <xf numFmtId="167" fontId="9" fillId="3" borderId="87" xfId="1" applyNumberFormat="1" applyFont="1" applyFill="1" applyBorder="1" applyAlignment="1" applyProtection="1">
      <protection locked="0"/>
    </xf>
    <xf numFmtId="169" fontId="33" fillId="11" borderId="23" xfId="1" quotePrefix="1" applyNumberFormat="1" applyFont="1" applyFill="1" applyBorder="1" applyAlignment="1" applyProtection="1">
      <protection locked="0"/>
    </xf>
    <xf numFmtId="169" fontId="33" fillId="11" borderId="23" xfId="1" applyNumberFormat="1" applyFont="1" applyFill="1" applyBorder="1" applyAlignment="1" applyProtection="1">
      <protection locked="0"/>
    </xf>
    <xf numFmtId="167" fontId="9" fillId="0" borderId="87" xfId="1" applyNumberFormat="1" applyFont="1" applyFill="1" applyBorder="1" applyAlignment="1" applyProtection="1">
      <alignment horizontal="center"/>
    </xf>
    <xf numFmtId="167" fontId="9" fillId="3" borderId="89" xfId="1" applyNumberFormat="1" applyFont="1" applyFill="1" applyBorder="1" applyAlignment="1" applyProtection="1">
      <protection locked="0"/>
    </xf>
    <xf numFmtId="0" fontId="33" fillId="9" borderId="81" xfId="18" applyFont="1" applyFill="1" applyBorder="1" applyAlignment="1" applyProtection="1">
      <alignment horizontal="left"/>
    </xf>
    <xf numFmtId="0" fontId="33" fillId="9" borderId="29" xfId="18" applyFont="1" applyFill="1" applyBorder="1" applyAlignment="1" applyProtection="1">
      <alignment horizontal="center"/>
    </xf>
    <xf numFmtId="0" fontId="33" fillId="9" borderId="109" xfId="18" applyFont="1" applyFill="1" applyBorder="1" applyAlignment="1" applyProtection="1"/>
    <xf numFmtId="0" fontId="33" fillId="9" borderId="110" xfId="18" applyFont="1" applyFill="1" applyBorder="1" applyAlignment="1" applyProtection="1"/>
    <xf numFmtId="0" fontId="33" fillId="0" borderId="111" xfId="18" applyFont="1" applyBorder="1" applyAlignment="1" applyProtection="1"/>
    <xf numFmtId="176" fontId="33" fillId="11" borderId="82" xfId="24" applyNumberFormat="1" applyFont="1" applyFill="1" applyBorder="1" applyAlignment="1" applyProtection="1">
      <alignment horizontal="center" vertical="center"/>
      <protection locked="0"/>
    </xf>
    <xf numFmtId="169" fontId="100" fillId="9" borderId="0" xfId="0" applyNumberFormat="1" applyFont="1" applyFill="1" applyAlignment="1">
      <alignment vertical="center"/>
    </xf>
    <xf numFmtId="0" fontId="37" fillId="9" borderId="0" xfId="0" applyFont="1" applyFill="1" applyAlignment="1" applyProtection="1">
      <alignment vertical="center"/>
      <protection locked="0" hidden="1"/>
    </xf>
    <xf numFmtId="0" fontId="0" fillId="9" borderId="0" xfId="0" applyFill="1" applyAlignment="1">
      <alignment vertical="center"/>
    </xf>
    <xf numFmtId="0" fontId="86" fillId="9" borderId="0" xfId="0" applyFont="1" applyFill="1" applyBorder="1" applyAlignment="1" applyProtection="1">
      <alignment vertical="center"/>
      <protection locked="0"/>
    </xf>
    <xf numFmtId="0" fontId="86" fillId="9" borderId="0" xfId="0" applyFont="1" applyFill="1" applyBorder="1" applyAlignment="1" applyProtection="1">
      <alignment horizontal="center" vertical="center"/>
      <protection locked="0"/>
    </xf>
    <xf numFmtId="0" fontId="90" fillId="9" borderId="0" xfId="0" applyFont="1" applyFill="1" applyBorder="1" applyAlignment="1" applyProtection="1">
      <alignment vertical="center" wrapText="1"/>
      <protection locked="0"/>
    </xf>
    <xf numFmtId="0" fontId="85" fillId="9" borderId="0" xfId="0" applyFont="1" applyFill="1" applyBorder="1" applyAlignment="1" applyProtection="1">
      <alignment vertical="center"/>
      <protection locked="0"/>
    </xf>
    <xf numFmtId="0" fontId="0" fillId="9" borderId="0" xfId="0" applyFill="1" applyAlignment="1" applyProtection="1">
      <alignment vertical="center"/>
      <protection locked="0" hidden="1"/>
    </xf>
    <xf numFmtId="0" fontId="37" fillId="9" borderId="30" xfId="0" applyFont="1" applyFill="1" applyBorder="1" applyAlignment="1" applyProtection="1">
      <alignment vertical="center"/>
      <protection locked="0" hidden="1"/>
    </xf>
    <xf numFmtId="0" fontId="0" fillId="9" borderId="31" xfId="0" applyFill="1" applyBorder="1" applyAlignment="1">
      <alignment vertical="center"/>
    </xf>
    <xf numFmtId="0" fontId="91" fillId="9" borderId="0" xfId="0" applyFont="1" applyFill="1" applyBorder="1" applyAlignment="1" applyProtection="1">
      <alignment horizontal="center" vertical="center" wrapText="1"/>
      <protection locked="0"/>
    </xf>
    <xf numFmtId="0" fontId="91" fillId="9" borderId="0" xfId="0" applyFont="1" applyFill="1" applyBorder="1" applyAlignment="1" applyProtection="1">
      <alignment vertical="center" wrapText="1"/>
      <protection locked="0"/>
    </xf>
    <xf numFmtId="0" fontId="85" fillId="9" borderId="0" xfId="0" applyFont="1" applyFill="1" applyBorder="1" applyAlignment="1" applyProtection="1">
      <alignment horizontal="center" vertical="center" wrapText="1"/>
      <protection locked="0"/>
    </xf>
    <xf numFmtId="175" fontId="90" fillId="9" borderId="19" xfId="0" applyNumberFormat="1" applyFont="1" applyFill="1" applyBorder="1" applyAlignment="1" applyProtection="1">
      <alignment vertical="center"/>
      <protection locked="0"/>
    </xf>
    <xf numFmtId="169" fontId="85" fillId="9" borderId="0" xfId="9" applyNumberFormat="1" applyFont="1" applyFill="1" applyBorder="1" applyAlignment="1" applyProtection="1">
      <alignment vertical="center"/>
      <protection locked="0"/>
    </xf>
    <xf numFmtId="175" fontId="90" fillId="9" borderId="0" xfId="0" applyNumberFormat="1" applyFont="1" applyFill="1" applyBorder="1" applyAlignment="1" applyProtection="1">
      <alignment vertical="center"/>
      <protection locked="0"/>
    </xf>
    <xf numFmtId="0" fontId="0" fillId="9" borderId="0" xfId="0" applyFill="1"/>
    <xf numFmtId="169" fontId="90" fillId="9" borderId="0" xfId="9" applyNumberFormat="1" applyFont="1" applyFill="1" applyBorder="1" applyAlignment="1" applyProtection="1">
      <alignment horizontal="center" vertical="center"/>
      <protection locked="0"/>
    </xf>
    <xf numFmtId="0" fontId="87" fillId="9" borderId="0" xfId="0" applyFont="1" applyFill="1" applyBorder="1" applyAlignment="1" applyProtection="1">
      <alignment vertical="center"/>
      <protection locked="0"/>
    </xf>
    <xf numFmtId="0" fontId="87" fillId="9" borderId="0" xfId="0" applyFont="1" applyFill="1" applyBorder="1" applyAlignment="1" applyProtection="1">
      <alignment horizontal="center" vertical="center"/>
      <protection locked="0"/>
    </xf>
    <xf numFmtId="0" fontId="90" fillId="9" borderId="0" xfId="0" applyFont="1" applyFill="1" applyBorder="1" applyAlignment="1" applyProtection="1">
      <alignment horizontal="center" vertical="center" wrapText="1"/>
      <protection locked="0"/>
    </xf>
    <xf numFmtId="0" fontId="15" fillId="8" borderId="19" xfId="17" applyFont="1" applyFill="1" applyBorder="1" applyAlignment="1" applyProtection="1">
      <protection locked="0"/>
    </xf>
    <xf numFmtId="0" fontId="17" fillId="3" borderId="27" xfId="17" applyFont="1" applyFill="1" applyBorder="1" applyAlignment="1" applyProtection="1">
      <alignment horizontal="center"/>
      <protection locked="0"/>
    </xf>
    <xf numFmtId="0" fontId="80" fillId="16" borderId="113" xfId="39" applyFont="1" applyFill="1" applyBorder="1"/>
    <xf numFmtId="0" fontId="92" fillId="16" borderId="0" xfId="39" applyFont="1" applyFill="1"/>
    <xf numFmtId="0" fontId="104" fillId="16" borderId="115" xfId="39" applyFont="1" applyFill="1" applyBorder="1"/>
    <xf numFmtId="0" fontId="106" fillId="16" borderId="116" xfId="40" applyFont="1" applyFill="1" applyBorder="1" applyAlignment="1" applyProtection="1"/>
    <xf numFmtId="0" fontId="105" fillId="16" borderId="116" xfId="39" applyFont="1" applyFill="1" applyBorder="1"/>
    <xf numFmtId="0" fontId="105" fillId="16" borderId="117" xfId="39" applyFont="1" applyFill="1" applyBorder="1"/>
    <xf numFmtId="0" fontId="92" fillId="16" borderId="114" xfId="39" applyFont="1" applyFill="1" applyBorder="1"/>
    <xf numFmtId="167" fontId="9" fillId="8" borderId="1" xfId="1" applyNumberFormat="1" applyFont="1" applyFill="1" applyBorder="1" applyAlignment="1" applyProtection="1">
      <alignment horizontal="right"/>
      <protection locked="0"/>
    </xf>
    <xf numFmtId="0" fontId="9" fillId="2" borderId="2" xfId="17" applyFont="1" applyFill="1" applyBorder="1" applyAlignment="1" applyProtection="1">
      <alignment horizontal="center"/>
    </xf>
    <xf numFmtId="0" fontId="22" fillId="2" borderId="2" xfId="23" applyFont="1" applyFill="1" applyBorder="1" applyAlignment="1" applyProtection="1">
      <alignment wrapText="1"/>
    </xf>
    <xf numFmtId="0" fontId="15" fillId="2" borderId="2" xfId="23" applyNumberFormat="1" applyFont="1" applyFill="1" applyBorder="1" applyAlignment="1" applyProtection="1">
      <alignment horizontal="center"/>
    </xf>
    <xf numFmtId="49" fontId="19" fillId="2" borderId="120" xfId="17" applyNumberFormat="1" applyFont="1" applyFill="1" applyBorder="1" applyAlignment="1" applyProtection="1">
      <alignment horizontal="right"/>
    </xf>
    <xf numFmtId="0" fontId="15" fillId="2" borderId="92" xfId="22" applyFont="1" applyFill="1" applyBorder="1" applyAlignment="1" applyProtection="1"/>
    <xf numFmtId="1" fontId="15" fillId="2" borderId="94" xfId="1" applyNumberFormat="1" applyFont="1" applyFill="1" applyBorder="1" applyAlignment="1" applyProtection="1">
      <alignment horizontal="center" vertical="center"/>
    </xf>
    <xf numFmtId="0" fontId="15" fillId="2" borderId="86" xfId="22" applyFont="1" applyFill="1" applyBorder="1" applyAlignment="1" applyProtection="1"/>
    <xf numFmtId="166" fontId="33" fillId="2" borderId="87" xfId="1" applyNumberFormat="1" applyFill="1" applyBorder="1" applyAlignment="1" applyProtection="1">
      <alignment horizontal="center"/>
    </xf>
    <xf numFmtId="0" fontId="9" fillId="2" borderId="86" xfId="22" applyFont="1" applyFill="1" applyBorder="1" applyAlignment="1" applyProtection="1">
      <alignment horizontal="center"/>
    </xf>
    <xf numFmtId="167" fontId="19" fillId="0" borderId="87" xfId="1" applyNumberFormat="1" applyFont="1" applyFill="1" applyBorder="1" applyAlignment="1" applyProtection="1">
      <alignment horizontal="center" vertical="center" wrapText="1"/>
    </xf>
    <xf numFmtId="167" fontId="15" fillId="0" borderId="87" xfId="1" applyNumberFormat="1" applyFont="1" applyFill="1" applyBorder="1" applyAlignment="1" applyProtection="1">
      <alignment horizontal="center" wrapText="1"/>
    </xf>
    <xf numFmtId="167" fontId="15" fillId="2" borderId="87" xfId="1" applyNumberFormat="1" applyFont="1" applyFill="1" applyBorder="1" applyAlignment="1" applyProtection="1">
      <alignment horizontal="center"/>
    </xf>
    <xf numFmtId="167" fontId="9" fillId="3" borderId="87" xfId="8" applyNumberFormat="1" applyFont="1" applyFill="1" applyBorder="1" applyAlignment="1" applyProtection="1">
      <alignment horizontal="right"/>
      <protection locked="0"/>
    </xf>
    <xf numFmtId="167" fontId="9" fillId="3" borderId="89" xfId="8" applyNumberFormat="1" applyFont="1" applyFill="1" applyBorder="1" applyAlignment="1" applyProtection="1">
      <alignment horizontal="right"/>
      <protection locked="0"/>
    </xf>
    <xf numFmtId="168" fontId="108" fillId="2" borderId="82" xfId="1" applyNumberFormat="1" applyFont="1" applyFill="1" applyBorder="1" applyAlignment="1" applyProtection="1">
      <alignment horizontal="right"/>
    </xf>
    <xf numFmtId="1" fontId="15" fillId="0" borderId="87" xfId="1" applyNumberFormat="1" applyFont="1" applyFill="1" applyBorder="1" applyAlignment="1" applyProtection="1">
      <alignment horizontal="center"/>
    </xf>
    <xf numFmtId="166" fontId="81" fillId="0" borderId="87" xfId="1" applyNumberFormat="1" applyFont="1" applyFill="1" applyBorder="1" applyAlignment="1" applyProtection="1">
      <alignment horizontal="center"/>
    </xf>
    <xf numFmtId="167" fontId="9" fillId="10" borderId="87" xfId="1" applyNumberFormat="1" applyFont="1" applyFill="1" applyBorder="1" applyAlignment="1" applyProtection="1">
      <alignment horizontal="right"/>
      <protection locked="0"/>
    </xf>
    <xf numFmtId="0" fontId="15" fillId="2" borderId="86" xfId="22" applyFont="1" applyFill="1" applyBorder="1" applyAlignment="1" applyProtection="1">
      <alignment horizontal="center" vertical="center" textRotation="90" wrapText="1"/>
    </xf>
    <xf numFmtId="0" fontId="15" fillId="2" borderId="86" xfId="22" applyFont="1" applyFill="1" applyBorder="1" applyAlignment="1" applyProtection="1">
      <alignment vertical="center" textRotation="90" wrapText="1"/>
    </xf>
    <xf numFmtId="0" fontId="9" fillId="2" borderId="95" xfId="22" applyNumberFormat="1" applyFont="1" applyFill="1" applyBorder="1" applyAlignment="1" applyProtection="1"/>
    <xf numFmtId="0" fontId="9" fillId="2" borderId="96" xfId="22" applyNumberFormat="1" applyFont="1" applyFill="1" applyBorder="1" applyAlignment="1" applyProtection="1">
      <alignment horizontal="center"/>
    </xf>
    <xf numFmtId="0" fontId="9" fillId="2" borderId="96" xfId="22" applyNumberFormat="1" applyFont="1" applyFill="1" applyBorder="1" applyAlignment="1" applyProtection="1"/>
    <xf numFmtId="0" fontId="15" fillId="2" borderId="96" xfId="22" applyNumberFormat="1" applyFont="1" applyFill="1" applyBorder="1" applyAlignment="1" applyProtection="1">
      <alignment horizontal="center"/>
    </xf>
    <xf numFmtId="0" fontId="9" fillId="2" borderId="96" xfId="17" applyNumberFormat="1" applyFont="1" applyFill="1" applyBorder="1" applyAlignment="1" applyProtection="1"/>
    <xf numFmtId="168" fontId="9" fillId="2" borderId="100" xfId="1" applyNumberFormat="1" applyFont="1" applyFill="1" applyBorder="1" applyAlignment="1" applyProtection="1">
      <alignment horizontal="right"/>
    </xf>
    <xf numFmtId="167" fontId="84" fillId="21" borderId="0" xfId="17" applyNumberFormat="1" applyFont="1" applyFill="1" applyBorder="1" applyAlignment="1" applyProtection="1"/>
    <xf numFmtId="167" fontId="22" fillId="8" borderId="1" xfId="8" applyNumberFormat="1" applyFont="1" applyFill="1" applyBorder="1" applyAlignment="1" applyProtection="1">
      <protection locked="0"/>
    </xf>
    <xf numFmtId="167" fontId="15" fillId="8" borderId="1" xfId="1" applyNumberFormat="1" applyFont="1" applyFill="1" applyBorder="1" applyAlignment="1" applyProtection="1">
      <protection locked="0"/>
    </xf>
    <xf numFmtId="0" fontId="45" fillId="0" borderId="19" xfId="20" applyFont="1" applyBorder="1" applyAlignment="1"/>
    <xf numFmtId="167" fontId="35" fillId="8" borderId="1" xfId="8" applyNumberFormat="1" applyFont="1" applyFill="1" applyBorder="1" applyAlignment="1" applyProtection="1">
      <protection locked="0"/>
    </xf>
    <xf numFmtId="167" fontId="35" fillId="8" borderId="87" xfId="8" applyNumberFormat="1" applyFont="1" applyFill="1" applyBorder="1" applyAlignment="1" applyProtection="1">
      <protection locked="0"/>
    </xf>
    <xf numFmtId="0" fontId="82" fillId="0" borderId="0" xfId="0" applyFont="1" applyAlignment="1">
      <alignment horizontal="center"/>
    </xf>
    <xf numFmtId="0" fontId="0" fillId="0" borderId="0" xfId="0" applyNumberFormat="1" applyProtection="1">
      <protection locked="0"/>
    </xf>
    <xf numFmtId="0" fontId="5" fillId="0" borderId="0" xfId="1" applyNumberFormat="1" applyFont="1" applyProtection="1"/>
    <xf numFmtId="43" fontId="5" fillId="12" borderId="0" xfId="1" applyNumberFormat="1" applyFont="1" applyFill="1" applyProtection="1"/>
    <xf numFmtId="0" fontId="110" fillId="0" borderId="0" xfId="0" applyFont="1"/>
    <xf numFmtId="43" fontId="75" fillId="0" borderId="33" xfId="1" applyNumberFormat="1" applyFont="1" applyBorder="1" applyProtection="1"/>
    <xf numFmtId="165" fontId="33" fillId="0" borderId="22" xfId="1" applyBorder="1" applyProtection="1">
      <protection locked="0"/>
    </xf>
    <xf numFmtId="0" fontId="5" fillId="0" borderId="0" xfId="1" applyNumberFormat="1" applyFont="1" applyBorder="1" applyAlignment="1">
      <alignment horizontal="center"/>
    </xf>
    <xf numFmtId="169" fontId="5" fillId="0" borderId="0" xfId="1" applyNumberFormat="1" applyFont="1"/>
    <xf numFmtId="0" fontId="5" fillId="0" borderId="0" xfId="1" applyNumberFormat="1" applyFont="1"/>
    <xf numFmtId="10" fontId="5" fillId="0" borderId="0" xfId="33" applyNumberFormat="1" applyFont="1"/>
    <xf numFmtId="0" fontId="5" fillId="0" borderId="0" xfId="1" applyNumberFormat="1" applyFont="1" applyAlignment="1">
      <alignment horizontal="center"/>
    </xf>
    <xf numFmtId="0" fontId="0" fillId="0" borderId="0" xfId="0" applyNumberFormat="1"/>
    <xf numFmtId="169" fontId="75" fillId="0" borderId="123" xfId="1" applyNumberFormat="1" applyFont="1" applyBorder="1"/>
    <xf numFmtId="169" fontId="5" fillId="0" borderId="123" xfId="1" applyNumberFormat="1" applyFont="1" applyBorder="1"/>
    <xf numFmtId="169" fontId="5" fillId="0" borderId="65" xfId="1" applyNumberFormat="1" applyFont="1" applyBorder="1"/>
    <xf numFmtId="0" fontId="5" fillId="0" borderId="0" xfId="1" applyNumberFormat="1" applyFont="1" applyBorder="1" applyAlignment="1"/>
    <xf numFmtId="169" fontId="5" fillId="13" borderId="65" xfId="1" applyNumberFormat="1" applyFont="1" applyFill="1" applyBorder="1"/>
    <xf numFmtId="0" fontId="5" fillId="0" borderId="0" xfId="33" applyNumberFormat="1" applyFont="1"/>
    <xf numFmtId="0" fontId="5" fillId="13" borderId="65" xfId="1" applyNumberFormat="1" applyFont="1" applyFill="1" applyBorder="1"/>
    <xf numFmtId="0" fontId="5" fillId="0" borderId="42" xfId="1" applyNumberFormat="1" applyFont="1" applyBorder="1"/>
    <xf numFmtId="0" fontId="5" fillId="13" borderId="22" xfId="1" applyNumberFormat="1" applyFont="1" applyFill="1" applyBorder="1"/>
    <xf numFmtId="0" fontId="5" fillId="0" borderId="41" xfId="1" applyNumberFormat="1" applyFont="1" applyBorder="1"/>
    <xf numFmtId="3" fontId="0" fillId="0" borderId="0" xfId="0" applyNumberFormat="1"/>
    <xf numFmtId="0" fontId="45" fillId="0" borderId="0" xfId="20" applyFont="1" applyBorder="1" applyAlignment="1">
      <alignment horizontal="center"/>
    </xf>
    <xf numFmtId="9" fontId="33" fillId="0" borderId="0" xfId="1" applyNumberFormat="1"/>
    <xf numFmtId="9" fontId="33" fillId="0" borderId="0" xfId="33" applyNumberFormat="1"/>
    <xf numFmtId="43" fontId="33" fillId="0" borderId="23" xfId="1" applyNumberFormat="1" applyBorder="1" applyAlignment="1">
      <alignment horizontal="center"/>
    </xf>
    <xf numFmtId="169" fontId="33" fillId="0" borderId="23" xfId="1" applyNumberFormat="1" applyBorder="1" applyAlignment="1">
      <alignment horizontal="center"/>
    </xf>
    <xf numFmtId="0" fontId="15" fillId="2" borderId="1" xfId="17" applyFont="1" applyFill="1" applyBorder="1" applyAlignment="1" applyProtection="1">
      <alignment horizontal="center"/>
    </xf>
    <xf numFmtId="0" fontId="16" fillId="2" borderId="1" xfId="17" applyFont="1" applyFill="1" applyBorder="1" applyAlignment="1" applyProtection="1">
      <alignment horizontal="center"/>
    </xf>
    <xf numFmtId="0" fontId="15" fillId="3" borderId="3" xfId="17" applyFont="1" applyFill="1" applyBorder="1" applyAlignment="1" applyProtection="1">
      <alignment horizontal="center" wrapText="1"/>
      <protection locked="0"/>
    </xf>
    <xf numFmtId="0" fontId="15" fillId="0" borderId="1" xfId="17" applyFont="1" applyFill="1" applyBorder="1" applyAlignment="1" applyProtection="1">
      <alignment horizontal="center"/>
    </xf>
    <xf numFmtId="167" fontId="15" fillId="2" borderId="1" xfId="1" applyNumberFormat="1" applyFont="1" applyFill="1" applyBorder="1" applyAlignment="1" applyProtection="1">
      <alignment horizontal="center"/>
    </xf>
    <xf numFmtId="0" fontId="17" fillId="8" borderId="1" xfId="17" applyFont="1" applyFill="1" applyBorder="1" applyAlignment="1" applyProtection="1">
      <alignment horizontal="center"/>
    </xf>
    <xf numFmtId="177" fontId="0" fillId="0" borderId="19" xfId="1" applyNumberFormat="1" applyFont="1" applyBorder="1" applyAlignment="1" applyProtection="1"/>
    <xf numFmtId="10" fontId="4" fillId="0" borderId="0" xfId="33" applyNumberFormat="1" applyFont="1"/>
    <xf numFmtId="169" fontId="4" fillId="0" borderId="0" xfId="1" applyNumberFormat="1" applyFont="1"/>
    <xf numFmtId="167" fontId="15" fillId="8" borderId="1" xfId="1" applyNumberFormat="1" applyFont="1" applyFill="1" applyBorder="1" applyAlignment="1" applyProtection="1"/>
    <xf numFmtId="0" fontId="68" fillId="0" borderId="96" xfId="17" applyFont="1" applyBorder="1" applyAlignment="1" applyProtection="1">
      <alignment horizontal="left"/>
    </xf>
    <xf numFmtId="0" fontId="68" fillId="0" borderId="36" xfId="17" applyFont="1" applyBorder="1" applyAlignment="1" applyProtection="1">
      <alignment horizontal="left"/>
    </xf>
    <xf numFmtId="0" fontId="19" fillId="2" borderId="121" xfId="17" applyFont="1" applyFill="1" applyBorder="1" applyAlignment="1" applyProtection="1">
      <alignment horizontal="center" vertical="center"/>
    </xf>
    <xf numFmtId="0" fontId="114" fillId="0" borderId="96" xfId="17" applyFont="1" applyBorder="1" applyAlignment="1" applyProtection="1">
      <alignment horizontal="left"/>
    </xf>
    <xf numFmtId="0" fontId="70" fillId="8" borderId="1" xfId="17" applyFont="1" applyFill="1" applyBorder="1" applyAlignment="1" applyProtection="1">
      <alignment horizontal="center"/>
    </xf>
    <xf numFmtId="49" fontId="19" fillId="2" borderId="59" xfId="17" applyNumberFormat="1" applyFont="1" applyFill="1" applyBorder="1" applyAlignment="1" applyProtection="1">
      <alignment horizontal="right"/>
    </xf>
    <xf numFmtId="0" fontId="102" fillId="0" borderId="95" xfId="17" applyFont="1" applyBorder="1" applyAlignment="1" applyProtection="1"/>
    <xf numFmtId="0" fontId="15" fillId="2" borderId="71" xfId="17" applyNumberFormat="1" applyFont="1" applyFill="1" applyBorder="1" applyAlignment="1" applyProtection="1">
      <alignment horizontal="center"/>
    </xf>
    <xf numFmtId="0" fontId="9" fillId="2" borderId="63" xfId="17" applyFont="1" applyFill="1" applyBorder="1" applyAlignment="1" applyProtection="1">
      <alignment wrapText="1"/>
    </xf>
    <xf numFmtId="0" fontId="34" fillId="2" borderId="1" xfId="17" applyFont="1" applyFill="1" applyBorder="1" applyAlignment="1" applyProtection="1">
      <alignment horizontal="center"/>
    </xf>
    <xf numFmtId="0" fontId="3" fillId="13" borderId="74" xfId="1" applyNumberFormat="1" applyFont="1" applyFill="1" applyBorder="1" applyAlignment="1"/>
    <xf numFmtId="0" fontId="14" fillId="2" borderId="1" xfId="17" applyNumberFormat="1" applyFont="1" applyFill="1" applyBorder="1" applyAlignment="1" applyProtection="1">
      <alignment horizontal="left" vertical="top" wrapText="1"/>
    </xf>
    <xf numFmtId="0" fontId="115" fillId="22" borderId="22" xfId="17" applyFont="1" applyFill="1" applyBorder="1" applyAlignment="1" applyProtection="1"/>
    <xf numFmtId="0" fontId="115" fillId="22" borderId="32" xfId="17" applyFont="1" applyFill="1" applyBorder="1" applyAlignment="1" applyProtection="1"/>
    <xf numFmtId="0" fontId="103" fillId="21" borderId="53" xfId="17" applyFont="1" applyFill="1" applyBorder="1" applyAlignment="1" applyProtection="1"/>
    <xf numFmtId="0" fontId="48" fillId="0" borderId="125" xfId="20" applyFont="1" applyBorder="1"/>
    <xf numFmtId="0" fontId="45" fillId="0" borderId="36" xfId="20" applyFont="1" applyBorder="1" applyAlignment="1">
      <alignment horizontal="center"/>
    </xf>
    <xf numFmtId="167" fontId="33" fillId="4" borderId="22" xfId="1" applyNumberFormat="1" applyFill="1" applyBorder="1" applyAlignment="1">
      <alignment horizontal="center"/>
    </xf>
    <xf numFmtId="0" fontId="116" fillId="16" borderId="113" xfId="39" applyFont="1" applyFill="1" applyBorder="1"/>
    <xf numFmtId="167" fontId="115" fillId="22" borderId="50" xfId="17" applyNumberFormat="1" applyFont="1" applyFill="1" applyBorder="1" applyAlignment="1" applyProtection="1"/>
    <xf numFmtId="0" fontId="103" fillId="21" borderId="41" xfId="17" applyFont="1" applyFill="1" applyBorder="1" applyAlignment="1" applyProtection="1"/>
    <xf numFmtId="167" fontId="115" fillId="22" borderId="36" xfId="17" applyNumberFormat="1" applyFont="1" applyFill="1" applyBorder="1" applyAlignment="1" applyProtection="1"/>
    <xf numFmtId="171" fontId="45" fillId="0" borderId="0" xfId="20" applyNumberFormat="1" applyFont="1" applyAlignment="1">
      <alignment horizontal="center"/>
    </xf>
    <xf numFmtId="0" fontId="2" fillId="13" borderId="74" xfId="1" applyNumberFormat="1" applyFont="1" applyFill="1" applyBorder="1" applyAlignment="1"/>
    <xf numFmtId="43" fontId="1" fillId="12" borderId="0" xfId="1" applyNumberFormat="1" applyFont="1" applyFill="1" applyAlignment="1" applyProtection="1">
      <alignment horizontal="center"/>
    </xf>
    <xf numFmtId="178" fontId="15" fillId="2" borderId="5" xfId="17" applyNumberFormat="1" applyFont="1" applyFill="1" applyBorder="1" applyAlignment="1" applyProtection="1">
      <alignment horizontal="center"/>
    </xf>
    <xf numFmtId="178" fontId="9" fillId="0" borderId="5" xfId="17" applyNumberFormat="1" applyFont="1" applyFill="1" applyBorder="1" applyAlignment="1" applyProtection="1">
      <alignment horizontal="left"/>
    </xf>
    <xf numFmtId="178" fontId="15" fillId="0" borderId="1" xfId="17" applyNumberFormat="1" applyFont="1" applyFill="1" applyBorder="1" applyAlignment="1" applyProtection="1">
      <alignment horizontal="center"/>
    </xf>
    <xf numFmtId="49" fontId="35" fillId="0" borderId="107" xfId="17" applyNumberFormat="1" applyFont="1" applyFill="1" applyBorder="1" applyAlignment="1" applyProtection="1">
      <alignment horizontal="center"/>
    </xf>
    <xf numFmtId="0" fontId="35" fillId="0" borderId="106" xfId="17" applyFont="1" applyFill="1" applyBorder="1" applyAlignment="1" applyProtection="1"/>
    <xf numFmtId="0" fontId="12" fillId="0" borderId="44" xfId="0" applyFont="1" applyBorder="1" applyAlignment="1" applyProtection="1">
      <alignment horizontal="center" wrapText="1"/>
    </xf>
    <xf numFmtId="0" fontId="12" fillId="0" borderId="45" xfId="0" applyFont="1" applyBorder="1" applyAlignment="1" applyProtection="1">
      <alignment horizontal="center" wrapText="1"/>
    </xf>
    <xf numFmtId="0" fontId="12" fillId="0" borderId="46" xfId="0" applyFont="1" applyBorder="1" applyAlignment="1" applyProtection="1">
      <alignment horizontal="center" wrapText="1"/>
    </xf>
    <xf numFmtId="0" fontId="13" fillId="0" borderId="11" xfId="0" applyFont="1" applyBorder="1" applyAlignment="1" applyProtection="1">
      <alignment horizontal="left" vertical="center" wrapText="1"/>
    </xf>
    <xf numFmtId="0" fontId="13" fillId="0" borderId="47" xfId="0" applyFont="1" applyBorder="1" applyAlignment="1" applyProtection="1">
      <alignment horizontal="center" vertical="center" wrapText="1"/>
    </xf>
    <xf numFmtId="0" fontId="13" fillId="0" borderId="48" xfId="0" applyFont="1" applyBorder="1" applyAlignment="1" applyProtection="1">
      <alignment horizontal="center" vertical="center" wrapText="1"/>
    </xf>
    <xf numFmtId="0" fontId="13" fillId="0" borderId="49" xfId="0" applyFont="1" applyBorder="1" applyAlignment="1" applyProtection="1">
      <alignment horizontal="center" vertical="center" wrapText="1"/>
    </xf>
    <xf numFmtId="0" fontId="13" fillId="0" borderId="2" xfId="0" applyFont="1" applyBorder="1" applyAlignment="1" applyProtection="1">
      <alignment horizontal="center" wrapText="1"/>
    </xf>
    <xf numFmtId="0" fontId="13" fillId="0" borderId="40" xfId="0" applyFont="1" applyBorder="1" applyAlignment="1" applyProtection="1">
      <alignment horizontal="center" wrapText="1"/>
    </xf>
    <xf numFmtId="0" fontId="13" fillId="0" borderId="7" xfId="0" applyFont="1" applyBorder="1" applyAlignment="1" applyProtection="1">
      <alignment horizontal="center" wrapText="1"/>
    </xf>
    <xf numFmtId="0" fontId="92" fillId="16" borderId="0" xfId="39" applyFont="1" applyFill="1" applyAlignment="1">
      <alignment vertical="center" wrapText="1"/>
    </xf>
    <xf numFmtId="0" fontId="43" fillId="5" borderId="24" xfId="0" applyFont="1" applyFill="1" applyBorder="1" applyAlignment="1" applyProtection="1">
      <alignment horizontal="center" shrinkToFit="1"/>
      <protection locked="0" hidden="1"/>
    </xf>
    <xf numFmtId="49" fontId="43" fillId="5" borderId="51" xfId="0" applyNumberFormat="1" applyFont="1" applyFill="1" applyBorder="1" applyAlignment="1" applyProtection="1">
      <alignment horizontal="center" shrinkToFit="1"/>
      <protection locked="0" hidden="1"/>
    </xf>
    <xf numFmtId="0" fontId="38" fillId="7" borderId="0" xfId="20" applyFont="1" applyFill="1" applyAlignment="1" applyProtection="1">
      <alignment horizontal="center"/>
      <protection locked="0" hidden="1"/>
    </xf>
    <xf numFmtId="0" fontId="43" fillId="5" borderId="51" xfId="0" applyFont="1" applyFill="1" applyBorder="1" applyAlignment="1" applyProtection="1">
      <alignment horizontal="center" shrinkToFit="1"/>
      <protection locked="0" hidden="1"/>
    </xf>
    <xf numFmtId="0" fontId="51" fillId="0" borderId="52" xfId="20" applyFont="1" applyBorder="1" applyAlignment="1">
      <alignment horizontal="justify" vertical="center" textRotation="90"/>
    </xf>
    <xf numFmtId="0" fontId="51" fillId="0" borderId="53" xfId="20" applyFont="1" applyBorder="1" applyAlignment="1">
      <alignment horizontal="justify" vertical="center" textRotation="90"/>
    </xf>
    <xf numFmtId="0" fontId="51" fillId="0" borderId="41" xfId="20" applyFont="1" applyBorder="1" applyAlignment="1">
      <alignment horizontal="justify" vertical="center" textRotation="90"/>
    </xf>
    <xf numFmtId="0" fontId="51" fillId="0" borderId="54" xfId="20" applyFont="1" applyBorder="1" applyAlignment="1">
      <alignment horizontal="justify" vertical="center" textRotation="90"/>
    </xf>
    <xf numFmtId="0" fontId="51" fillId="0" borderId="55" xfId="20" applyFont="1" applyBorder="1" applyAlignment="1">
      <alignment horizontal="justify" vertical="center" textRotation="90"/>
    </xf>
    <xf numFmtId="0" fontId="54" fillId="0" borderId="51" xfId="20" applyFont="1" applyBorder="1" applyAlignment="1">
      <alignment horizontal="center"/>
    </xf>
    <xf numFmtId="0" fontId="70" fillId="8" borderId="8" xfId="17" applyNumberFormat="1" applyFont="1" applyFill="1" applyBorder="1" applyAlignment="1" applyProtection="1">
      <alignment horizontal="left" wrapText="1"/>
    </xf>
    <xf numFmtId="0" fontId="70" fillId="8" borderId="3" xfId="17" applyNumberFormat="1" applyFont="1" applyFill="1" applyBorder="1" applyAlignment="1" applyProtection="1">
      <alignment horizontal="left" wrapText="1"/>
    </xf>
    <xf numFmtId="0" fontId="61" fillId="2" borderId="1" xfId="17" applyNumberFormat="1" applyFont="1" applyFill="1" applyBorder="1" applyAlignment="1" applyProtection="1">
      <alignment horizontal="left" wrapText="1"/>
    </xf>
    <xf numFmtId="178" fontId="19" fillId="2" borderId="1" xfId="17" applyNumberFormat="1" applyFont="1" applyFill="1" applyBorder="1" applyAlignment="1" applyProtection="1">
      <alignment horizontal="center" vertical="center" wrapText="1"/>
    </xf>
    <xf numFmtId="0" fontId="28" fillId="8" borderId="1" xfId="17" applyFont="1" applyFill="1" applyBorder="1" applyAlignment="1" applyProtection="1">
      <alignment horizontal="left" wrapText="1"/>
    </xf>
    <xf numFmtId="0" fontId="32" fillId="2" borderId="1" xfId="17" applyNumberFormat="1" applyFont="1" applyFill="1" applyBorder="1" applyAlignment="1" applyProtection="1">
      <alignment horizontal="left" wrapText="1"/>
    </xf>
    <xf numFmtId="0" fontId="101" fillId="0" borderId="29" xfId="17" applyFont="1" applyBorder="1" applyAlignment="1" applyProtection="1"/>
    <xf numFmtId="0" fontId="15" fillId="2" borderId="88" xfId="17" applyNumberFormat="1" applyFont="1" applyFill="1" applyBorder="1" applyAlignment="1" applyProtection="1">
      <alignment horizontal="center" vertical="center" textRotation="90"/>
    </xf>
    <xf numFmtId="0" fontId="62" fillId="8" borderId="8" xfId="17" applyNumberFormat="1" applyFont="1" applyFill="1" applyBorder="1" applyAlignment="1" applyProtection="1">
      <alignment horizontal="left" wrapText="1"/>
    </xf>
    <xf numFmtId="0" fontId="62" fillId="8" borderId="3" xfId="17" applyNumberFormat="1" applyFont="1" applyFill="1" applyBorder="1" applyAlignment="1" applyProtection="1">
      <alignment horizontal="left" wrapText="1"/>
    </xf>
    <xf numFmtId="0" fontId="32" fillId="8" borderId="8" xfId="17" applyNumberFormat="1" applyFont="1" applyFill="1" applyBorder="1" applyAlignment="1" applyProtection="1">
      <alignment horizontal="left" wrapText="1"/>
    </xf>
    <xf numFmtId="0" fontId="32" fillId="8" borderId="3" xfId="17" applyNumberFormat="1" applyFont="1" applyFill="1" applyBorder="1" applyAlignment="1" applyProtection="1">
      <alignment horizontal="left" wrapText="1"/>
    </xf>
    <xf numFmtId="0" fontId="62" fillId="8" borderId="4" xfId="17" applyNumberFormat="1" applyFont="1" applyFill="1" applyBorder="1" applyAlignment="1" applyProtection="1">
      <alignment horizontal="left" wrapText="1"/>
    </xf>
    <xf numFmtId="0" fontId="62" fillId="8" borderId="6" xfId="17" applyNumberFormat="1" applyFont="1" applyFill="1" applyBorder="1" applyAlignment="1" applyProtection="1">
      <alignment horizontal="left" wrapText="1"/>
    </xf>
    <xf numFmtId="0" fontId="70" fillId="8" borderId="1" xfId="17" applyNumberFormat="1" applyFont="1" applyFill="1" applyBorder="1" applyAlignment="1" applyProtection="1">
      <alignment horizontal="left" wrapText="1"/>
    </xf>
    <xf numFmtId="0" fontId="61" fillId="0" borderId="8" xfId="17" applyNumberFormat="1" applyFont="1" applyFill="1" applyBorder="1" applyAlignment="1" applyProtection="1">
      <alignment wrapText="1"/>
    </xf>
    <xf numFmtId="0" fontId="61" fillId="0" borderId="3" xfId="17" applyNumberFormat="1" applyFont="1" applyFill="1" applyBorder="1" applyAlignment="1" applyProtection="1">
      <alignment wrapText="1"/>
    </xf>
    <xf numFmtId="0" fontId="61" fillId="8" borderId="8" xfId="17" applyNumberFormat="1" applyFont="1" applyFill="1" applyBorder="1" applyAlignment="1" applyProtection="1">
      <alignment wrapText="1"/>
    </xf>
    <xf numFmtId="0" fontId="61" fillId="8" borderId="3" xfId="17" applyNumberFormat="1" applyFont="1" applyFill="1" applyBorder="1" applyAlignment="1" applyProtection="1">
      <alignment wrapText="1"/>
    </xf>
    <xf numFmtId="0" fontId="61" fillId="8" borderId="8" xfId="17" applyNumberFormat="1" applyFont="1" applyFill="1" applyBorder="1" applyAlignment="1" applyProtection="1">
      <alignment horizontal="left" wrapText="1"/>
    </xf>
    <xf numFmtId="0" fontId="61" fillId="8" borderId="3" xfId="17" applyNumberFormat="1" applyFont="1" applyFill="1" applyBorder="1" applyAlignment="1" applyProtection="1">
      <alignment horizontal="left" wrapText="1"/>
    </xf>
    <xf numFmtId="0" fontId="70" fillId="0" borderId="8" xfId="17" applyNumberFormat="1" applyFont="1" applyFill="1" applyBorder="1" applyAlignment="1" applyProtection="1">
      <alignment horizontal="left" wrapText="1"/>
    </xf>
    <xf numFmtId="0" fontId="70" fillId="0" borderId="3" xfId="17" applyNumberFormat="1" applyFont="1" applyFill="1" applyBorder="1" applyAlignment="1" applyProtection="1">
      <alignment horizontal="left" wrapText="1"/>
    </xf>
    <xf numFmtId="0" fontId="70" fillId="8" borderId="8" xfId="17" applyNumberFormat="1" applyFont="1" applyFill="1" applyBorder="1" applyAlignment="1" applyProtection="1">
      <alignment wrapText="1"/>
    </xf>
    <xf numFmtId="0" fontId="70" fillId="8" borderId="3" xfId="17" applyNumberFormat="1" applyFont="1" applyFill="1" applyBorder="1" applyAlignment="1" applyProtection="1">
      <alignment wrapText="1"/>
    </xf>
    <xf numFmtId="0" fontId="70" fillId="0" borderId="1" xfId="17" applyNumberFormat="1" applyFont="1" applyFill="1" applyBorder="1" applyAlignment="1" applyProtection="1">
      <alignment horizontal="left" wrapText="1"/>
    </xf>
    <xf numFmtId="0" fontId="70" fillId="8" borderId="8" xfId="17" applyNumberFormat="1" applyFont="1" applyFill="1" applyBorder="1" applyAlignment="1" applyProtection="1">
      <alignment vertical="top" wrapText="1"/>
    </xf>
    <xf numFmtId="0" fontId="70" fillId="8" borderId="3" xfId="17" applyNumberFormat="1" applyFont="1" applyFill="1" applyBorder="1" applyAlignment="1" applyProtection="1">
      <alignment vertical="top" wrapText="1"/>
    </xf>
    <xf numFmtId="0" fontId="70" fillId="0" borderId="8" xfId="17" applyNumberFormat="1" applyFont="1" applyFill="1" applyBorder="1" applyAlignment="1" applyProtection="1">
      <alignment wrapText="1"/>
    </xf>
    <xf numFmtId="0" fontId="70" fillId="0" borderId="3" xfId="17" applyNumberFormat="1" applyFont="1" applyFill="1" applyBorder="1" applyAlignment="1" applyProtection="1">
      <alignment wrapText="1"/>
    </xf>
    <xf numFmtId="0" fontId="70" fillId="2" borderId="1" xfId="17" applyNumberFormat="1" applyFont="1" applyFill="1" applyBorder="1" applyAlignment="1" applyProtection="1">
      <alignment horizontal="left" wrapText="1"/>
    </xf>
    <xf numFmtId="0" fontId="70" fillId="23" borderId="8" xfId="17" applyNumberFormat="1" applyFont="1" applyFill="1" applyBorder="1" applyAlignment="1" applyProtection="1">
      <alignment vertical="top" wrapText="1"/>
    </xf>
    <xf numFmtId="0" fontId="70" fillId="23" borderId="3" xfId="17" applyNumberFormat="1" applyFont="1" applyFill="1" applyBorder="1" applyAlignment="1" applyProtection="1">
      <alignment vertical="top" wrapText="1"/>
    </xf>
    <xf numFmtId="0" fontId="56" fillId="0" borderId="51" xfId="0" applyNumberFormat="1" applyFont="1" applyBorder="1" applyAlignment="1" applyProtection="1">
      <alignment horizontal="left"/>
    </xf>
    <xf numFmtId="0" fontId="35" fillId="0" borderId="25" xfId="0" applyNumberFormat="1" applyFont="1" applyBorder="1" applyAlignment="1" applyProtection="1">
      <alignment horizontal="center"/>
    </xf>
    <xf numFmtId="0" fontId="35" fillId="0" borderId="57" xfId="0" applyNumberFormat="1" applyFont="1" applyBorder="1" applyAlignment="1" applyProtection="1">
      <alignment horizontal="center"/>
    </xf>
    <xf numFmtId="0" fontId="35" fillId="0" borderId="28" xfId="0" applyNumberFormat="1" applyFont="1" applyBorder="1" applyAlignment="1" applyProtection="1">
      <alignment horizontal="center"/>
    </xf>
    <xf numFmtId="0" fontId="56" fillId="9" borderId="39" xfId="0" applyNumberFormat="1" applyFont="1" applyFill="1" applyBorder="1" applyAlignment="1" applyProtection="1">
      <alignment horizontal="center"/>
    </xf>
    <xf numFmtId="0" fontId="56" fillId="9" borderId="26" xfId="0" applyNumberFormat="1" applyFont="1" applyFill="1" applyBorder="1" applyAlignment="1" applyProtection="1">
      <alignment horizontal="center"/>
    </xf>
    <xf numFmtId="0" fontId="61" fillId="2" borderId="8" xfId="17" applyNumberFormat="1" applyFont="1" applyFill="1" applyBorder="1" applyAlignment="1" applyProtection="1">
      <alignment horizontal="left" wrapText="1"/>
    </xf>
    <xf numFmtId="0" fontId="61" fillId="2" borderId="3" xfId="17" applyNumberFormat="1" applyFont="1" applyFill="1" applyBorder="1" applyAlignment="1" applyProtection="1">
      <alignment horizontal="left" wrapText="1"/>
    </xf>
    <xf numFmtId="0" fontId="61" fillId="23" borderId="1" xfId="17" applyNumberFormat="1" applyFont="1" applyFill="1" applyBorder="1" applyAlignment="1" applyProtection="1">
      <alignment horizontal="left" wrapText="1"/>
    </xf>
    <xf numFmtId="178" fontId="15" fillId="3" borderId="9" xfId="17" applyNumberFormat="1" applyFont="1" applyFill="1" applyBorder="1" applyAlignment="1" applyProtection="1">
      <alignment horizontal="center"/>
      <protection locked="0"/>
    </xf>
    <xf numFmtId="0" fontId="56" fillId="0" borderId="25" xfId="0" applyNumberFormat="1" applyFont="1" applyBorder="1" applyAlignment="1" applyProtection="1">
      <alignment horizontal="center" wrapText="1"/>
    </xf>
    <xf numFmtId="0" fontId="56" fillId="0" borderId="57" xfId="0" applyNumberFormat="1" applyFont="1" applyBorder="1" applyAlignment="1" applyProtection="1">
      <alignment horizontal="center" wrapText="1"/>
    </xf>
    <xf numFmtId="0" fontId="56" fillId="0" borderId="28" xfId="0" applyNumberFormat="1" applyFont="1" applyBorder="1" applyAlignment="1" applyProtection="1">
      <alignment horizontal="center" wrapText="1"/>
    </xf>
    <xf numFmtId="0" fontId="56" fillId="0" borderId="25" xfId="0" applyNumberFormat="1" applyFont="1" applyBorder="1" applyAlignment="1" applyProtection="1">
      <alignment horizontal="center"/>
    </xf>
    <xf numFmtId="0" fontId="56" fillId="0" borderId="57" xfId="0" applyNumberFormat="1" applyFont="1" applyBorder="1" applyAlignment="1" applyProtection="1">
      <alignment horizontal="center"/>
    </xf>
    <xf numFmtId="0" fontId="56" fillId="0" borderId="28" xfId="0" applyNumberFormat="1" applyFont="1" applyBorder="1" applyAlignment="1" applyProtection="1">
      <alignment horizontal="center"/>
    </xf>
    <xf numFmtId="0" fontId="9" fillId="2" borderId="1" xfId="17" applyFont="1" applyFill="1" applyBorder="1" applyAlignment="1" applyProtection="1">
      <alignment horizontal="left" wrapText="1"/>
    </xf>
    <xf numFmtId="0" fontId="69" fillId="0" borderId="19" xfId="0" applyFont="1" applyFill="1" applyBorder="1" applyProtection="1"/>
    <xf numFmtId="0" fontId="19" fillId="2" borderId="56" xfId="17" applyFont="1" applyFill="1" applyBorder="1" applyAlignment="1" applyProtection="1">
      <alignment horizontal="center"/>
    </xf>
    <xf numFmtId="0" fontId="61" fillId="0" borderId="8" xfId="17" applyNumberFormat="1" applyFont="1" applyFill="1" applyBorder="1" applyAlignment="1" applyProtection="1">
      <alignment horizontal="left" wrapText="1"/>
    </xf>
    <xf numFmtId="0" fontId="61" fillId="0" borderId="3" xfId="17" applyNumberFormat="1" applyFont="1" applyFill="1" applyBorder="1" applyAlignment="1" applyProtection="1">
      <alignment horizontal="left" wrapText="1"/>
    </xf>
    <xf numFmtId="0" fontId="33" fillId="8" borderId="8" xfId="17" applyFont="1" applyFill="1" applyBorder="1" applyAlignment="1" applyProtection="1"/>
    <xf numFmtId="0" fontId="33" fillId="8" borderId="3" xfId="17" applyFont="1" applyFill="1" applyBorder="1" applyAlignment="1" applyProtection="1"/>
    <xf numFmtId="0" fontId="33" fillId="8" borderId="8" xfId="17" applyFont="1" applyFill="1" applyBorder="1" applyAlignment="1" applyProtection="1">
      <alignment wrapText="1"/>
    </xf>
    <xf numFmtId="0" fontId="33" fillId="8" borderId="3" xfId="17" applyFont="1" applyFill="1" applyBorder="1" applyAlignment="1" applyProtection="1">
      <alignment wrapText="1"/>
    </xf>
    <xf numFmtId="0" fontId="19" fillId="2" borderId="1" xfId="17" applyFont="1" applyFill="1" applyBorder="1" applyAlignment="1" applyProtection="1">
      <alignment horizontal="center"/>
    </xf>
    <xf numFmtId="0" fontId="19" fillId="2" borderId="1" xfId="17" applyFont="1" applyFill="1" applyBorder="1" applyAlignment="1" applyProtection="1">
      <alignment horizontal="center" vertical="center"/>
    </xf>
    <xf numFmtId="0" fontId="15" fillId="2" borderId="1" xfId="17" applyFont="1" applyFill="1" applyBorder="1" applyAlignment="1" applyProtection="1">
      <alignment horizontal="center" vertical="center" wrapText="1"/>
    </xf>
    <xf numFmtId="0" fontId="9" fillId="0" borderId="1" xfId="17" applyFont="1" applyFill="1" applyBorder="1" applyAlignment="1" applyProtection="1">
      <alignment horizontal="left" wrapText="1"/>
    </xf>
    <xf numFmtId="0" fontId="28" fillId="2" borderId="1" xfId="17" applyFont="1" applyFill="1" applyBorder="1" applyAlignment="1" applyProtection="1">
      <alignment horizontal="center" vertical="center" wrapText="1"/>
    </xf>
    <xf numFmtId="0" fontId="15" fillId="2" borderId="83" xfId="17" applyFont="1" applyFill="1" applyBorder="1" applyAlignment="1" applyProtection="1">
      <alignment horizontal="center"/>
    </xf>
    <xf numFmtId="0" fontId="15" fillId="2" borderId="84" xfId="17" applyFont="1" applyFill="1" applyBorder="1" applyAlignment="1" applyProtection="1">
      <alignment horizontal="center"/>
    </xf>
    <xf numFmtId="0" fontId="15" fillId="2" borderId="86" xfId="17" applyFont="1" applyFill="1" applyBorder="1" applyAlignment="1" applyProtection="1">
      <alignment horizontal="center"/>
    </xf>
    <xf numFmtId="0" fontId="15" fillId="2" borderId="1" xfId="17" applyFont="1" applyFill="1" applyBorder="1" applyAlignment="1" applyProtection="1">
      <alignment horizontal="center"/>
    </xf>
    <xf numFmtId="0" fontId="15" fillId="2" borderId="87" xfId="17" applyFont="1" applyFill="1" applyBorder="1" applyAlignment="1" applyProtection="1">
      <alignment horizontal="center"/>
    </xf>
    <xf numFmtId="0" fontId="16" fillId="2" borderId="86" xfId="17" applyFont="1" applyFill="1" applyBorder="1" applyAlignment="1" applyProtection="1">
      <alignment horizontal="center"/>
    </xf>
    <xf numFmtId="0" fontId="16" fillId="2" borderId="1" xfId="17" applyFont="1" applyFill="1" applyBorder="1" applyAlignment="1" applyProtection="1">
      <alignment horizontal="center"/>
    </xf>
    <xf numFmtId="178" fontId="15" fillId="3" borderId="8" xfId="17" applyNumberFormat="1" applyFont="1" applyFill="1" applyBorder="1" applyAlignment="1" applyProtection="1">
      <alignment horizontal="center" wrapText="1"/>
      <protection locked="0"/>
    </xf>
    <xf numFmtId="178" fontId="15" fillId="3" borderId="9" xfId="17" applyNumberFormat="1" applyFont="1" applyFill="1" applyBorder="1" applyAlignment="1" applyProtection="1">
      <alignment horizontal="center" wrapText="1"/>
      <protection locked="0"/>
    </xf>
    <xf numFmtId="178" fontId="15" fillId="3" borderId="3" xfId="17" applyNumberFormat="1" applyFont="1" applyFill="1" applyBorder="1" applyAlignment="1" applyProtection="1">
      <alignment horizontal="center" wrapText="1"/>
      <protection locked="0"/>
    </xf>
    <xf numFmtId="172" fontId="15" fillId="3" borderId="8" xfId="17" applyNumberFormat="1" applyFont="1" applyFill="1" applyBorder="1" applyAlignment="1" applyProtection="1">
      <alignment horizontal="center" wrapText="1"/>
      <protection locked="0"/>
    </xf>
    <xf numFmtId="172" fontId="15" fillId="3" borderId="9" xfId="17" applyNumberFormat="1" applyFont="1" applyFill="1" applyBorder="1" applyAlignment="1" applyProtection="1">
      <alignment horizontal="center" wrapText="1"/>
      <protection locked="0"/>
    </xf>
    <xf numFmtId="172" fontId="15" fillId="3" borderId="3" xfId="17" applyNumberFormat="1" applyFont="1" applyFill="1" applyBorder="1" applyAlignment="1" applyProtection="1">
      <alignment horizontal="center" wrapText="1"/>
      <protection locked="0"/>
    </xf>
    <xf numFmtId="0" fontId="15" fillId="2" borderId="1" xfId="17" applyFont="1" applyFill="1" applyBorder="1" applyAlignment="1" applyProtection="1">
      <alignment horizontal="center" wrapText="1"/>
    </xf>
    <xf numFmtId="0" fontId="15" fillId="0" borderId="1" xfId="17" applyFont="1" applyFill="1" applyBorder="1" applyAlignment="1" applyProtection="1">
      <alignment horizontal="left" wrapText="1"/>
    </xf>
    <xf numFmtId="0" fontId="0" fillId="9" borderId="39" xfId="24" applyFont="1" applyFill="1" applyBorder="1" applyAlignment="1" applyProtection="1">
      <alignment wrapText="1"/>
    </xf>
    <xf numFmtId="0" fontId="33" fillId="9" borderId="26" xfId="24" applyFont="1" applyFill="1" applyBorder="1" applyAlignment="1" applyProtection="1">
      <alignment wrapText="1"/>
    </xf>
    <xf numFmtId="0" fontId="33" fillId="9" borderId="39" xfId="24" applyFont="1" applyFill="1" applyBorder="1" applyAlignment="1" applyProtection="1">
      <alignment wrapText="1"/>
    </xf>
    <xf numFmtId="0" fontId="36" fillId="9" borderId="39" xfId="24" applyFont="1" applyFill="1" applyBorder="1" applyAlignment="1" applyProtection="1">
      <alignment wrapText="1"/>
    </xf>
    <xf numFmtId="0" fontId="36" fillId="9" borderId="26" xfId="24" applyFont="1" applyFill="1" applyBorder="1" applyAlignment="1" applyProtection="1">
      <alignment wrapText="1"/>
    </xf>
    <xf numFmtId="0" fontId="15" fillId="2" borderId="88" xfId="17" applyFont="1" applyFill="1" applyBorder="1" applyAlignment="1" applyProtection="1">
      <alignment horizontal="center" vertical="center" textRotation="90"/>
    </xf>
    <xf numFmtId="0" fontId="15" fillId="2" borderId="91" xfId="17" applyFont="1" applyFill="1" applyBorder="1" applyAlignment="1" applyProtection="1">
      <alignment horizontal="center" vertical="center" textRotation="90"/>
    </xf>
    <xf numFmtId="0" fontId="33" fillId="2" borderId="1" xfId="17" applyFont="1" applyFill="1" applyBorder="1" applyAlignment="1" applyProtection="1">
      <alignment horizontal="left" wrapText="1"/>
    </xf>
    <xf numFmtId="0" fontId="33" fillId="2" borderId="8" xfId="17" applyFont="1" applyFill="1" applyBorder="1" applyAlignment="1" applyProtection="1">
      <alignment horizontal="left" wrapText="1"/>
    </xf>
    <xf numFmtId="0" fontId="33" fillId="2" borderId="3" xfId="17" applyFont="1" applyFill="1" applyBorder="1" applyAlignment="1" applyProtection="1">
      <alignment horizontal="left" wrapText="1"/>
    </xf>
    <xf numFmtId="0" fontId="15" fillId="2" borderId="91" xfId="17" applyNumberFormat="1" applyFont="1" applyFill="1" applyBorder="1" applyAlignment="1" applyProtection="1">
      <alignment horizontal="center" vertical="center" textRotation="90"/>
    </xf>
    <xf numFmtId="0" fontId="15" fillId="2" borderId="92" xfId="17" applyNumberFormat="1" applyFont="1" applyFill="1" applyBorder="1" applyAlignment="1" applyProtection="1">
      <alignment horizontal="center" vertical="center" textRotation="90"/>
    </xf>
    <xf numFmtId="0" fontId="35" fillId="8" borderId="1" xfId="17" applyFont="1" applyFill="1" applyBorder="1" applyAlignment="1" applyProtection="1">
      <alignment horizontal="left" wrapText="1"/>
    </xf>
    <xf numFmtId="0" fontId="22" fillId="0" borderId="1" xfId="17" applyFont="1" applyFill="1" applyBorder="1" applyAlignment="1" applyProtection="1">
      <alignment horizontal="left" wrapText="1"/>
    </xf>
    <xf numFmtId="0" fontId="78" fillId="8" borderId="8" xfId="17" applyFont="1" applyFill="1" applyBorder="1" applyAlignment="1" applyProtection="1">
      <alignment horizontal="left" wrapText="1"/>
    </xf>
    <xf numFmtId="0" fontId="78" fillId="8" borderId="3" xfId="17" applyFont="1" applyFill="1" applyBorder="1" applyAlignment="1" applyProtection="1">
      <alignment horizontal="left" wrapText="1"/>
    </xf>
    <xf numFmtId="0" fontId="22" fillId="2" borderId="7" xfId="17" applyNumberFormat="1" applyFont="1" applyFill="1" applyBorder="1" applyAlignment="1" applyProtection="1">
      <alignment horizontal="left" wrapText="1"/>
    </xf>
    <xf numFmtId="0" fontId="22" fillId="2" borderId="94" xfId="17" applyNumberFormat="1" applyFont="1" applyFill="1" applyBorder="1" applyAlignment="1" applyProtection="1">
      <alignment horizontal="left" wrapText="1"/>
    </xf>
    <xf numFmtId="0" fontId="9" fillId="0" borderId="8" xfId="17" applyFont="1" applyFill="1" applyBorder="1" applyAlignment="1" applyProtection="1">
      <alignment wrapText="1"/>
    </xf>
    <xf numFmtId="0" fontId="0" fillId="0" borderId="3" xfId="0" applyBorder="1"/>
    <xf numFmtId="0" fontId="15" fillId="8" borderId="1" xfId="17" applyFont="1" applyFill="1" applyBorder="1" applyAlignment="1" applyProtection="1">
      <alignment horizontal="left" wrapText="1"/>
    </xf>
    <xf numFmtId="0" fontId="9" fillId="2" borderId="8" xfId="17" applyFont="1" applyFill="1" applyBorder="1" applyAlignment="1" applyProtection="1">
      <alignment horizontal="left" wrapText="1"/>
    </xf>
    <xf numFmtId="0" fontId="9" fillId="2" borderId="3" xfId="17" applyFont="1" applyFill="1" applyBorder="1" applyAlignment="1" applyProtection="1">
      <alignment horizontal="left" wrapText="1"/>
    </xf>
    <xf numFmtId="0" fontId="15" fillId="2" borderId="1" xfId="17" applyFont="1" applyFill="1" applyBorder="1" applyAlignment="1" applyProtection="1">
      <alignment horizontal="left" wrapText="1"/>
    </xf>
    <xf numFmtId="0" fontId="0" fillId="0" borderId="1" xfId="17" applyFont="1" applyFill="1" applyBorder="1" applyAlignment="1" applyProtection="1">
      <alignment horizontal="left" wrapText="1"/>
    </xf>
    <xf numFmtId="0" fontId="33" fillId="0" borderId="1" xfId="17" applyFont="1" applyFill="1" applyBorder="1" applyAlignment="1" applyProtection="1">
      <alignment horizontal="left" wrapText="1"/>
    </xf>
    <xf numFmtId="0" fontId="33" fillId="8" borderId="8" xfId="17" applyFont="1" applyFill="1" applyBorder="1" applyAlignment="1" applyProtection="1">
      <alignment horizontal="left" wrapText="1"/>
    </xf>
    <xf numFmtId="0" fontId="33" fillId="8" borderId="3" xfId="17" applyFont="1" applyFill="1" applyBorder="1" applyAlignment="1" applyProtection="1">
      <alignment horizontal="left" wrapText="1"/>
    </xf>
    <xf numFmtId="0" fontId="0" fillId="0" borderId="8" xfId="17" applyFont="1" applyFill="1" applyBorder="1" applyAlignment="1" applyProtection="1">
      <alignment horizontal="left" wrapText="1"/>
    </xf>
    <xf numFmtId="0" fontId="0" fillId="0" borderId="3" xfId="17" applyFont="1" applyFill="1" applyBorder="1" applyAlignment="1" applyProtection="1">
      <alignment horizontal="left" wrapText="1"/>
    </xf>
    <xf numFmtId="0" fontId="112" fillId="8" borderId="118" xfId="17" applyNumberFormat="1" applyFont="1" applyFill="1" applyBorder="1" applyAlignment="1" applyProtection="1">
      <alignment horizontal="center"/>
    </xf>
    <xf numFmtId="0" fontId="113" fillId="8" borderId="124" xfId="17" applyNumberFormat="1" applyFont="1" applyFill="1" applyBorder="1" applyAlignment="1" applyProtection="1">
      <alignment horizontal="center"/>
    </xf>
    <xf numFmtId="0" fontId="113" fillId="8" borderId="120" xfId="17" applyNumberFormat="1" applyFont="1" applyFill="1" applyBorder="1" applyAlignment="1" applyProtection="1">
      <alignment horizontal="center"/>
    </xf>
    <xf numFmtId="0" fontId="28" fillId="2" borderId="88" xfId="17" applyNumberFormat="1" applyFont="1" applyFill="1" applyBorder="1" applyAlignment="1" applyProtection="1">
      <alignment horizontal="center" textRotation="90"/>
    </xf>
    <xf numFmtId="0" fontId="28" fillId="2" borderId="91" xfId="17" applyNumberFormat="1" applyFont="1" applyFill="1" applyBorder="1" applyAlignment="1" applyProtection="1">
      <alignment horizontal="center" textRotation="90"/>
    </xf>
    <xf numFmtId="0" fontId="28" fillId="2" borderId="92" xfId="17" applyNumberFormat="1" applyFont="1" applyFill="1" applyBorder="1" applyAlignment="1" applyProtection="1">
      <alignment horizontal="center" textRotation="90"/>
    </xf>
    <xf numFmtId="0" fontId="18" fillId="8" borderId="0" xfId="17" applyFont="1" applyFill="1" applyBorder="1" applyAlignment="1" applyProtection="1">
      <alignment horizontal="center"/>
    </xf>
    <xf numFmtId="0" fontId="35" fillId="2" borderId="19" xfId="17" applyFont="1" applyFill="1" applyBorder="1" applyAlignment="1" applyProtection="1">
      <alignment horizontal="left" wrapText="1"/>
    </xf>
    <xf numFmtId="0" fontId="9" fillId="2" borderId="19" xfId="17" applyFont="1" applyFill="1" applyBorder="1" applyAlignment="1" applyProtection="1">
      <alignment horizontal="left" wrapText="1"/>
    </xf>
    <xf numFmtId="0" fontId="9" fillId="2" borderId="7" xfId="17" applyFont="1" applyFill="1" applyBorder="1" applyAlignment="1" applyProtection="1">
      <alignment horizontal="left" wrapText="1"/>
    </xf>
    <xf numFmtId="0" fontId="33" fillId="9" borderId="8" xfId="17" applyFont="1" applyFill="1" applyBorder="1" applyAlignment="1" applyProtection="1">
      <alignment wrapText="1"/>
    </xf>
    <xf numFmtId="0" fontId="33" fillId="9" borderId="3" xfId="17" applyFont="1" applyFill="1" applyBorder="1" applyAlignment="1" applyProtection="1">
      <alignment wrapText="1"/>
    </xf>
    <xf numFmtId="0" fontId="33" fillId="8" borderId="4" xfId="17" applyFont="1" applyFill="1" applyBorder="1" applyAlignment="1" applyProtection="1">
      <alignment wrapText="1"/>
    </xf>
    <xf numFmtId="0" fontId="33" fillId="8" borderId="6" xfId="17" applyFont="1" applyFill="1" applyBorder="1" applyAlignment="1" applyProtection="1">
      <alignment wrapText="1"/>
    </xf>
    <xf numFmtId="0" fontId="19" fillId="2" borderId="88" xfId="17" applyFont="1" applyFill="1" applyBorder="1" applyAlignment="1" applyProtection="1">
      <alignment horizontal="center" vertical="center" textRotation="90" wrapText="1"/>
    </xf>
    <xf numFmtId="0" fontId="19" fillId="2" borderId="91" xfId="17" applyFont="1" applyFill="1" applyBorder="1" applyAlignment="1" applyProtection="1">
      <alignment horizontal="center" vertical="center" textRotation="90" wrapText="1"/>
    </xf>
    <xf numFmtId="0" fontId="19" fillId="2" borderId="92" xfId="17" applyFont="1" applyFill="1" applyBorder="1" applyAlignment="1" applyProtection="1">
      <alignment horizontal="center" vertical="center" textRotation="90" wrapText="1"/>
    </xf>
    <xf numFmtId="0" fontId="17" fillId="9" borderId="103" xfId="17" applyNumberFormat="1" applyFont="1" applyFill="1" applyBorder="1" applyAlignment="1" applyProtection="1">
      <alignment horizontal="center" wrapText="1"/>
    </xf>
    <xf numFmtId="0" fontId="17" fillId="9" borderId="104" xfId="17" applyNumberFormat="1" applyFont="1" applyFill="1" applyBorder="1" applyAlignment="1" applyProtection="1">
      <alignment horizontal="center" wrapText="1"/>
    </xf>
    <xf numFmtId="167" fontId="102" fillId="8" borderId="29" xfId="1" applyNumberFormat="1" applyFont="1" applyFill="1" applyBorder="1" applyAlignment="1" applyProtection="1">
      <alignment horizontal="left"/>
      <protection locked="0"/>
    </xf>
    <xf numFmtId="167" fontId="102" fillId="8" borderId="82" xfId="1" applyNumberFormat="1" applyFont="1" applyFill="1" applyBorder="1" applyAlignment="1" applyProtection="1">
      <alignment horizontal="left"/>
      <protection locked="0"/>
    </xf>
    <xf numFmtId="0" fontId="22" fillId="9" borderId="70" xfId="17" applyNumberFormat="1" applyFont="1" applyFill="1" applyBorder="1" applyAlignment="1" applyProtection="1">
      <alignment horizontal="left" wrapText="1"/>
    </xf>
    <xf numFmtId="0" fontId="22" fillId="9" borderId="71" xfId="17" applyNumberFormat="1" applyFont="1" applyFill="1" applyBorder="1" applyAlignment="1" applyProtection="1">
      <alignment horizontal="left" wrapText="1"/>
    </xf>
    <xf numFmtId="0" fontId="22" fillId="9" borderId="72" xfId="17" applyNumberFormat="1" applyFont="1" applyFill="1" applyBorder="1" applyAlignment="1" applyProtection="1">
      <alignment horizontal="left" wrapText="1"/>
    </xf>
    <xf numFmtId="0" fontId="9" fillId="0" borderId="1" xfId="17" applyNumberFormat="1" applyFont="1" applyFill="1" applyBorder="1" applyAlignment="1" applyProtection="1">
      <alignment horizontal="left" wrapText="1"/>
    </xf>
    <xf numFmtId="0" fontId="15" fillId="0" borderId="86" xfId="17" applyFont="1" applyBorder="1" applyAlignment="1" applyProtection="1">
      <alignment horizontal="center"/>
    </xf>
    <xf numFmtId="0" fontId="15" fillId="0" borderId="1" xfId="17" applyFont="1" applyBorder="1" applyAlignment="1" applyProtection="1">
      <alignment horizontal="center"/>
    </xf>
    <xf numFmtId="178" fontId="15" fillId="3" borderId="1" xfId="17" applyNumberFormat="1" applyFont="1" applyFill="1" applyBorder="1" applyAlignment="1" applyProtection="1">
      <alignment horizontal="center"/>
      <protection locked="0"/>
    </xf>
    <xf numFmtId="0" fontId="15" fillId="0" borderId="1" xfId="17" applyFont="1" applyFill="1" applyBorder="1" applyAlignment="1" applyProtection="1">
      <alignment horizontal="center"/>
    </xf>
    <xf numFmtId="0" fontId="19" fillId="9" borderId="1" xfId="17" applyNumberFormat="1" applyFont="1" applyFill="1" applyBorder="1" applyAlignment="1" applyProtection="1">
      <alignment horizontal="left" wrapText="1"/>
    </xf>
    <xf numFmtId="0" fontId="15" fillId="0" borderId="88" xfId="17" applyFont="1" applyBorder="1" applyAlignment="1" applyProtection="1">
      <alignment horizontal="center" vertical="center" textRotation="90"/>
    </xf>
    <xf numFmtId="0" fontId="15" fillId="0" borderId="91" xfId="17" applyFont="1" applyBorder="1" applyAlignment="1" applyProtection="1">
      <alignment horizontal="center" vertical="center" textRotation="90"/>
    </xf>
    <xf numFmtId="0" fontId="9" fillId="9" borderId="63" xfId="17" applyNumberFormat="1" applyFont="1" applyFill="1" applyBorder="1" applyAlignment="1" applyProtection="1">
      <alignment horizontal="left" wrapText="1"/>
    </xf>
    <xf numFmtId="0" fontId="9" fillId="0" borderId="1" xfId="17" applyFont="1" applyFill="1" applyBorder="1" applyAlignment="1" applyProtection="1">
      <alignment horizontal="left"/>
    </xf>
    <xf numFmtId="0" fontId="15" fillId="0" borderId="97" xfId="17" applyFont="1" applyBorder="1" applyAlignment="1" applyProtection="1">
      <alignment horizontal="center"/>
    </xf>
    <xf numFmtId="0" fontId="15" fillId="0" borderId="98" xfId="17" applyFont="1" applyBorder="1" applyAlignment="1" applyProtection="1">
      <alignment horizontal="center"/>
    </xf>
    <xf numFmtId="0" fontId="15" fillId="0" borderId="99" xfId="17" applyFont="1" applyBorder="1" applyAlignment="1" applyProtection="1">
      <alignment horizontal="center"/>
    </xf>
    <xf numFmtId="0" fontId="15" fillId="0" borderId="86" xfId="17" applyFont="1" applyBorder="1" applyAlignment="1" applyProtection="1">
      <alignment horizontal="center" wrapText="1"/>
    </xf>
    <xf numFmtId="0" fontId="15" fillId="0" borderId="1" xfId="17" applyFont="1" applyBorder="1" applyAlignment="1" applyProtection="1">
      <alignment horizontal="center" wrapText="1"/>
    </xf>
    <xf numFmtId="0" fontId="15" fillId="0" borderId="87" xfId="17" applyFont="1" applyBorder="1" applyAlignment="1" applyProtection="1">
      <alignment horizontal="center" wrapText="1"/>
    </xf>
    <xf numFmtId="0" fontId="22" fillId="0" borderId="1" xfId="17" applyNumberFormat="1" applyFont="1" applyFill="1" applyBorder="1" applyAlignment="1" applyProtection="1">
      <alignment horizontal="left" wrapText="1"/>
    </xf>
    <xf numFmtId="0" fontId="9" fillId="9" borderId="1" xfId="17" applyNumberFormat="1" applyFont="1" applyFill="1" applyBorder="1" applyAlignment="1" applyProtection="1">
      <alignment horizontal="left" wrapText="1"/>
    </xf>
    <xf numFmtId="0" fontId="9" fillId="9" borderId="70" xfId="17" applyNumberFormat="1" applyFont="1" applyFill="1" applyBorder="1" applyAlignment="1" applyProtection="1">
      <alignment horizontal="left" wrapText="1"/>
    </xf>
    <xf numFmtId="0" fontId="9" fillId="9" borderId="71" xfId="17" applyNumberFormat="1" applyFont="1" applyFill="1" applyBorder="1" applyAlignment="1" applyProtection="1">
      <alignment horizontal="left" wrapText="1"/>
    </xf>
    <xf numFmtId="0" fontId="9" fillId="9" borderId="72" xfId="17" applyNumberFormat="1" applyFont="1" applyFill="1" applyBorder="1" applyAlignment="1" applyProtection="1">
      <alignment horizontal="left" wrapText="1"/>
    </xf>
    <xf numFmtId="0" fontId="9" fillId="9" borderId="1" xfId="17" applyFont="1" applyFill="1" applyBorder="1" applyAlignment="1" applyProtection="1">
      <alignment horizontal="left" wrapText="1"/>
    </xf>
    <xf numFmtId="0" fontId="9" fillId="9" borderId="1" xfId="17" applyFont="1" applyFill="1" applyBorder="1" applyAlignment="1" applyProtection="1">
      <alignment horizontal="left"/>
    </xf>
    <xf numFmtId="0" fontId="9" fillId="2" borderId="1" xfId="17" applyNumberFormat="1" applyFont="1" applyFill="1" applyBorder="1" applyAlignment="1" applyProtection="1">
      <alignment horizontal="left" wrapText="1"/>
    </xf>
    <xf numFmtId="0" fontId="9" fillId="2" borderId="1" xfId="17" applyFont="1" applyFill="1" applyBorder="1" applyAlignment="1" applyProtection="1">
      <alignment horizontal="left"/>
    </xf>
    <xf numFmtId="0" fontId="22" fillId="0" borderId="8" xfId="17" applyNumberFormat="1" applyFont="1" applyFill="1" applyBorder="1" applyAlignment="1" applyProtection="1">
      <alignment horizontal="left" wrapText="1"/>
    </xf>
    <xf numFmtId="0" fontId="22" fillId="0" borderId="9" xfId="17" applyNumberFormat="1" applyFont="1" applyFill="1" applyBorder="1" applyAlignment="1" applyProtection="1">
      <alignment horizontal="left" wrapText="1"/>
    </xf>
    <xf numFmtId="0" fontId="22" fillId="0" borderId="3" xfId="17" applyNumberFormat="1" applyFont="1" applyFill="1" applyBorder="1" applyAlignment="1" applyProtection="1">
      <alignment horizontal="left" wrapText="1"/>
    </xf>
    <xf numFmtId="0" fontId="61" fillId="0" borderId="1" xfId="17" applyNumberFormat="1" applyFont="1" applyFill="1" applyBorder="1" applyAlignment="1" applyProtection="1">
      <alignment horizontal="left" wrapText="1"/>
    </xf>
    <xf numFmtId="167" fontId="15" fillId="2" borderId="1" xfId="1" applyNumberFormat="1" applyFont="1" applyFill="1" applyBorder="1" applyAlignment="1" applyProtection="1">
      <alignment horizontal="center"/>
    </xf>
    <xf numFmtId="167" fontId="15" fillId="2" borderId="2" xfId="1" applyNumberFormat="1" applyFont="1" applyFill="1" applyBorder="1" applyAlignment="1" applyProtection="1">
      <alignment horizontal="center"/>
    </xf>
    <xf numFmtId="0" fontId="15" fillId="2" borderId="86" xfId="22" applyFont="1" applyFill="1" applyBorder="1" applyAlignment="1" applyProtection="1">
      <alignment horizontal="center" vertical="center" textRotation="90"/>
    </xf>
    <xf numFmtId="0" fontId="15" fillId="2" borderId="88" xfId="22" applyFont="1" applyFill="1" applyBorder="1" applyAlignment="1" applyProtection="1">
      <alignment horizontal="center" vertical="center" textRotation="90"/>
    </xf>
    <xf numFmtId="0" fontId="27" fillId="2" borderId="80" xfId="22" applyFont="1" applyFill="1" applyBorder="1" applyAlignment="1" applyProtection="1">
      <alignment horizontal="center"/>
    </xf>
    <xf numFmtId="0" fontId="27" fillId="2" borderId="19" xfId="22" applyFont="1" applyFill="1" applyBorder="1" applyAlignment="1" applyProtection="1">
      <alignment horizontal="center"/>
    </xf>
    <xf numFmtId="0" fontId="27" fillId="2" borderId="23" xfId="22" applyFont="1" applyFill="1" applyBorder="1" applyAlignment="1" applyProtection="1">
      <alignment horizontal="center"/>
    </xf>
    <xf numFmtId="0" fontId="15" fillId="0" borderId="7" xfId="22" applyFont="1" applyFill="1" applyBorder="1" applyAlignment="1" applyProtection="1">
      <alignment horizontal="center"/>
    </xf>
    <xf numFmtId="1" fontId="15" fillId="0" borderId="1" xfId="22" applyNumberFormat="1" applyFont="1" applyFill="1" applyBorder="1" applyAlignment="1" applyProtection="1">
      <alignment horizontal="center"/>
    </xf>
    <xf numFmtId="0" fontId="108" fillId="2" borderId="122" xfId="22" applyNumberFormat="1" applyFont="1" applyFill="1" applyBorder="1" applyAlignment="1" applyProtection="1"/>
    <xf numFmtId="0" fontId="108" fillId="2" borderId="110" xfId="22" applyNumberFormat="1" applyFont="1" applyFill="1" applyBorder="1" applyAlignment="1" applyProtection="1"/>
    <xf numFmtId="0" fontId="108" fillId="2" borderId="111" xfId="22" applyNumberFormat="1" applyFont="1" applyFill="1" applyBorder="1" applyAlignment="1" applyProtection="1"/>
    <xf numFmtId="0" fontId="108" fillId="2" borderId="109" xfId="17" applyNumberFormat="1" applyFont="1" applyFill="1" applyBorder="1" applyAlignment="1" applyProtection="1">
      <alignment horizontal="right"/>
    </xf>
    <xf numFmtId="0" fontId="108" fillId="2" borderId="111" xfId="17" applyNumberFormat="1" applyFont="1" applyFill="1" applyBorder="1" applyAlignment="1" applyProtection="1">
      <alignment horizontal="right"/>
    </xf>
    <xf numFmtId="0" fontId="15" fillId="2" borderId="83" xfId="22" applyFont="1" applyFill="1" applyBorder="1" applyAlignment="1" applyProtection="1">
      <alignment horizontal="center"/>
    </xf>
    <xf numFmtId="0" fontId="15" fillId="2" borderId="84" xfId="22" applyFont="1" applyFill="1" applyBorder="1" applyAlignment="1" applyProtection="1">
      <alignment horizontal="center"/>
    </xf>
    <xf numFmtId="0" fontId="15" fillId="2" borderId="121" xfId="22" applyFont="1" applyFill="1" applyBorder="1" applyAlignment="1" applyProtection="1">
      <alignment horizontal="center"/>
    </xf>
    <xf numFmtId="0" fontId="15" fillId="2" borderId="8" xfId="22" applyFont="1" applyFill="1" applyBorder="1" applyAlignment="1" applyProtection="1">
      <alignment horizontal="center"/>
    </xf>
    <xf numFmtId="0" fontId="15" fillId="2" borderId="87" xfId="22" applyFont="1" applyFill="1" applyBorder="1" applyAlignment="1" applyProtection="1">
      <alignment horizontal="center"/>
    </xf>
    <xf numFmtId="0" fontId="27" fillId="2" borderId="121" xfId="22" applyFont="1" applyFill="1" applyBorder="1" applyAlignment="1" applyProtection="1">
      <alignment horizontal="center"/>
    </xf>
    <xf numFmtId="0" fontId="27" fillId="2" borderId="8" xfId="22" applyFont="1" applyFill="1" applyBorder="1" applyAlignment="1" applyProtection="1">
      <alignment horizontal="center"/>
    </xf>
    <xf numFmtId="0" fontId="27" fillId="2" borderId="87" xfId="22" applyFont="1" applyFill="1" applyBorder="1" applyAlignment="1" applyProtection="1">
      <alignment horizontal="center"/>
    </xf>
    <xf numFmtId="178" fontId="15" fillId="0" borderId="1" xfId="22" applyNumberFormat="1" applyFont="1" applyFill="1" applyBorder="1" applyAlignment="1" applyProtection="1">
      <alignment horizontal="center"/>
    </xf>
    <xf numFmtId="0" fontId="15" fillId="2" borderId="86" xfId="22" applyFont="1" applyFill="1" applyBorder="1" applyAlignment="1" applyProtection="1">
      <alignment horizontal="center" vertical="center" textRotation="90" wrapText="1"/>
    </xf>
    <xf numFmtId="178" fontId="16" fillId="3" borderId="8" xfId="22" applyNumberFormat="1" applyFont="1" applyFill="1" applyBorder="1" applyAlignment="1" applyProtection="1">
      <alignment horizontal="center"/>
      <protection locked="0"/>
    </xf>
    <xf numFmtId="178" fontId="16" fillId="3" borderId="9" xfId="22" applyNumberFormat="1" applyFont="1" applyFill="1" applyBorder="1" applyAlignment="1" applyProtection="1">
      <alignment horizontal="center"/>
      <protection locked="0"/>
    </xf>
    <xf numFmtId="0" fontId="15" fillId="2" borderId="118" xfId="22" applyFont="1" applyFill="1" applyBorder="1" applyAlignment="1" applyProtection="1">
      <alignment horizontal="center"/>
    </xf>
    <xf numFmtId="0" fontId="15" fillId="2" borderId="119" xfId="22" applyFont="1" applyFill="1" applyBorder="1" applyAlignment="1" applyProtection="1">
      <alignment horizontal="center"/>
    </xf>
    <xf numFmtId="0" fontId="15" fillId="2" borderId="80" xfId="22" applyFont="1" applyFill="1" applyBorder="1" applyAlignment="1" applyProtection="1">
      <alignment horizontal="center"/>
    </xf>
    <xf numFmtId="0" fontId="15" fillId="2" borderId="19" xfId="22" applyFont="1" applyFill="1" applyBorder="1" applyAlignment="1" applyProtection="1">
      <alignment horizontal="center"/>
    </xf>
    <xf numFmtId="0" fontId="15" fillId="2" borderId="23" xfId="22" applyFont="1" applyFill="1" applyBorder="1" applyAlignment="1" applyProtection="1">
      <alignment horizontal="center"/>
    </xf>
    <xf numFmtId="0" fontId="28" fillId="2" borderId="86" xfId="22" applyFont="1" applyFill="1" applyBorder="1" applyAlignment="1" applyProtection="1">
      <alignment horizontal="center" wrapText="1"/>
    </xf>
    <xf numFmtId="0" fontId="28" fillId="2" borderId="1" xfId="22" applyFont="1" applyFill="1" applyBorder="1" applyAlignment="1" applyProtection="1">
      <alignment horizontal="center" wrapText="1"/>
    </xf>
    <xf numFmtId="0" fontId="9" fillId="0" borderId="1" xfId="17" applyNumberFormat="1" applyFont="1" applyFill="1" applyBorder="1" applyAlignment="1" applyProtection="1">
      <alignment horizontal="left"/>
    </xf>
    <xf numFmtId="0" fontId="15" fillId="0" borderId="97" xfId="18" applyFont="1" applyBorder="1" applyAlignment="1" applyProtection="1">
      <alignment horizontal="center"/>
    </xf>
    <xf numFmtId="0" fontId="15" fillId="0" borderId="98" xfId="18" applyFont="1" applyBorder="1" applyAlignment="1" applyProtection="1">
      <alignment horizontal="center"/>
    </xf>
    <xf numFmtId="0" fontId="15" fillId="0" borderId="99" xfId="18" applyFont="1" applyBorder="1" applyAlignment="1" applyProtection="1">
      <alignment horizontal="center"/>
    </xf>
    <xf numFmtId="0" fontId="15" fillId="0" borderId="86" xfId="18" applyFont="1" applyBorder="1" applyAlignment="1" applyProtection="1">
      <alignment horizontal="center"/>
    </xf>
    <xf numFmtId="0" fontId="15" fillId="0" borderId="1" xfId="18" applyFont="1" applyBorder="1" applyAlignment="1" applyProtection="1">
      <alignment horizontal="center"/>
    </xf>
    <xf numFmtId="0" fontId="15" fillId="0" borderId="87" xfId="18" applyFont="1" applyBorder="1" applyAlignment="1" applyProtection="1">
      <alignment horizontal="center"/>
    </xf>
    <xf numFmtId="178" fontId="15" fillId="3" borderId="1" xfId="18" applyNumberFormat="1" applyFont="1" applyFill="1" applyBorder="1" applyAlignment="1" applyProtection="1">
      <alignment horizontal="center"/>
      <protection locked="0"/>
    </xf>
    <xf numFmtId="0" fontId="15" fillId="2" borderId="86" xfId="18" applyFont="1" applyFill="1" applyBorder="1" applyAlignment="1" applyProtection="1">
      <alignment horizontal="center" vertical="center" textRotation="90"/>
    </xf>
    <xf numFmtId="0" fontId="15" fillId="2" borderId="88" xfId="18" applyFont="1" applyFill="1" applyBorder="1" applyAlignment="1" applyProtection="1">
      <alignment horizontal="center" vertical="center" textRotation="90"/>
    </xf>
    <xf numFmtId="0" fontId="15" fillId="0" borderId="1" xfId="18" applyFont="1" applyFill="1" applyBorder="1" applyAlignment="1" applyProtection="1">
      <alignment horizontal="left"/>
    </xf>
    <xf numFmtId="0" fontId="15" fillId="0" borderId="1" xfId="17" applyNumberFormat="1" applyFont="1" applyFill="1" applyBorder="1" applyAlignment="1" applyProtection="1">
      <alignment horizontal="left"/>
    </xf>
    <xf numFmtId="0" fontId="15" fillId="0" borderId="86" xfId="17" applyFont="1" applyFill="1" applyBorder="1" applyAlignment="1" applyProtection="1">
      <alignment horizontal="center"/>
    </xf>
    <xf numFmtId="1" fontId="15" fillId="2" borderId="1" xfId="17" applyNumberFormat="1" applyFont="1" applyFill="1" applyBorder="1" applyAlignment="1" applyProtection="1">
      <alignment horizontal="center" wrapText="1"/>
    </xf>
    <xf numFmtId="178" fontId="9" fillId="0" borderId="6" xfId="17" applyNumberFormat="1" applyFont="1" applyFill="1" applyBorder="1" applyAlignment="1" applyProtection="1">
      <alignment horizontal="left" wrapText="1"/>
    </xf>
    <xf numFmtId="178" fontId="9" fillId="0" borderId="93" xfId="17" applyNumberFormat="1" applyFont="1" applyFill="1" applyBorder="1" applyAlignment="1" applyProtection="1">
      <alignment horizontal="left" wrapText="1"/>
    </xf>
    <xf numFmtId="167" fontId="9" fillId="0" borderId="1" xfId="5" applyNumberFormat="1" applyFont="1" applyFill="1" applyBorder="1" applyAlignment="1" applyProtection="1">
      <alignment horizontal="left"/>
    </xf>
    <xf numFmtId="0" fontId="15" fillId="3" borderId="1" xfId="17" applyFont="1" applyFill="1" applyBorder="1" applyAlignment="1" applyProtection="1">
      <alignment horizontal="center"/>
      <protection locked="0"/>
    </xf>
    <xf numFmtId="49" fontId="9" fillId="2" borderId="1" xfId="17" applyNumberFormat="1" applyFont="1" applyFill="1" applyBorder="1" applyAlignment="1" applyProtection="1">
      <alignment horizontal="left"/>
    </xf>
    <xf numFmtId="0" fontId="9" fillId="0" borderId="1" xfId="5" applyNumberFormat="1" applyFont="1" applyFill="1" applyBorder="1" applyAlignment="1" applyProtection="1">
      <alignment horizontal="left" wrapText="1"/>
    </xf>
    <xf numFmtId="0" fontId="15" fillId="0" borderId="88" xfId="17" applyFont="1" applyFill="1" applyBorder="1" applyAlignment="1" applyProtection="1">
      <alignment horizontal="center" vertical="center" textRotation="90"/>
    </xf>
    <xf numFmtId="0" fontId="15" fillId="0" borderId="91" xfId="17" applyFont="1" applyFill="1" applyBorder="1" applyAlignment="1" applyProtection="1">
      <alignment horizontal="center" vertical="center" textRotation="90"/>
    </xf>
    <xf numFmtId="0" fontId="15" fillId="0" borderId="92" xfId="17" applyFont="1" applyFill="1" applyBorder="1" applyAlignment="1" applyProtection="1">
      <alignment horizontal="center" vertical="center" textRotation="90"/>
    </xf>
    <xf numFmtId="178" fontId="35" fillId="3" borderId="9" xfId="17" applyNumberFormat="1" applyFont="1" applyFill="1" applyBorder="1" applyAlignment="1" applyProtection="1">
      <alignment horizontal="center"/>
      <protection locked="0"/>
    </xf>
    <xf numFmtId="0" fontId="9" fillId="3" borderId="2" xfId="17" applyFont="1" applyFill="1" applyBorder="1" applyAlignment="1" applyProtection="1">
      <alignment horizontal="center" wrapText="1"/>
      <protection locked="0"/>
    </xf>
    <xf numFmtId="167" fontId="15" fillId="0" borderId="1" xfId="5" applyNumberFormat="1" applyFont="1" applyFill="1" applyBorder="1" applyAlignment="1" applyProtection="1">
      <alignment horizontal="left"/>
    </xf>
    <xf numFmtId="0" fontId="15" fillId="0" borderId="86" xfId="17" applyFont="1" applyFill="1" applyBorder="1" applyAlignment="1" applyProtection="1">
      <alignment horizontal="center" vertical="center" textRotation="90"/>
    </xf>
    <xf numFmtId="0" fontId="15" fillId="0" borderId="8" xfId="17" applyFont="1" applyFill="1" applyBorder="1" applyAlignment="1" applyProtection="1">
      <alignment horizontal="left" wrapText="1"/>
    </xf>
    <xf numFmtId="0" fontId="15" fillId="3" borderId="1" xfId="17" applyFont="1" applyFill="1" applyBorder="1" applyAlignment="1" applyProtection="1">
      <alignment horizontal="center" wrapText="1"/>
      <protection locked="0"/>
    </xf>
    <xf numFmtId="0" fontId="19" fillId="0" borderId="8" xfId="17" applyFont="1" applyFill="1" applyBorder="1" applyAlignment="1" applyProtection="1">
      <alignment horizontal="left" wrapText="1"/>
    </xf>
    <xf numFmtId="167" fontId="30" fillId="0" borderId="1" xfId="5" applyNumberFormat="1" applyFont="1" applyFill="1" applyBorder="1" applyAlignment="1" applyProtection="1">
      <alignment horizontal="center" wrapText="1"/>
    </xf>
    <xf numFmtId="167" fontId="30" fillId="0" borderId="1" xfId="5" applyNumberFormat="1" applyFont="1" applyFill="1" applyBorder="1" applyAlignment="1" applyProtection="1">
      <alignment horizontal="center"/>
    </xf>
    <xf numFmtId="0" fontId="15" fillId="0" borderId="1" xfId="17" applyFont="1" applyFill="1" applyBorder="1" applyAlignment="1" applyProtection="1">
      <alignment horizontal="center" wrapText="1"/>
    </xf>
    <xf numFmtId="0" fontId="30" fillId="0" borderId="1" xfId="17" applyFont="1" applyFill="1" applyBorder="1" applyAlignment="1" applyProtection="1">
      <alignment horizontal="center" wrapText="1"/>
    </xf>
    <xf numFmtId="0" fontId="30" fillId="0" borderId="1" xfId="17" applyFont="1" applyFill="1" applyBorder="1" applyAlignment="1" applyProtection="1">
      <alignment horizontal="center"/>
    </xf>
    <xf numFmtId="0" fontId="15" fillId="0" borderId="83" xfId="17" applyFont="1" applyFill="1" applyBorder="1" applyAlignment="1" applyProtection="1">
      <alignment horizontal="center"/>
    </xf>
    <xf numFmtId="0" fontId="15" fillId="0" borderId="84" xfId="17" applyFont="1" applyFill="1" applyBorder="1" applyAlignment="1" applyProtection="1">
      <alignment horizontal="center"/>
    </xf>
    <xf numFmtId="178" fontId="15" fillId="2" borderId="1" xfId="17" applyNumberFormat="1" applyFont="1" applyFill="1" applyBorder="1" applyAlignment="1" applyProtection="1">
      <alignment horizontal="center" wrapText="1"/>
    </xf>
    <xf numFmtId="0" fontId="15" fillId="0" borderId="86" xfId="17" applyFont="1" applyFill="1" applyBorder="1" applyAlignment="1" applyProtection="1">
      <alignment vertical="center" textRotation="90"/>
    </xf>
    <xf numFmtId="0" fontId="35" fillId="11" borderId="8" xfId="24" applyFont="1" applyFill="1" applyBorder="1" applyAlignment="1" applyProtection="1">
      <protection locked="0"/>
    </xf>
    <xf numFmtId="0" fontId="35" fillId="11" borderId="9" xfId="24" applyFont="1" applyFill="1" applyBorder="1" applyAlignment="1" applyProtection="1">
      <protection locked="0"/>
    </xf>
    <xf numFmtId="0" fontId="35" fillId="11" borderId="3" xfId="24" applyFont="1" applyFill="1" applyBorder="1" applyAlignment="1" applyProtection="1">
      <protection locked="0"/>
    </xf>
    <xf numFmtId="167" fontId="30" fillId="3" borderId="1" xfId="5" applyNumberFormat="1" applyFont="1" applyFill="1" applyBorder="1" applyAlignment="1" applyProtection="1">
      <alignment horizontal="center" wrapText="1"/>
      <protection locked="0"/>
    </xf>
    <xf numFmtId="167" fontId="30" fillId="2" borderId="1" xfId="5" applyNumberFormat="1" applyFont="1" applyFill="1" applyBorder="1" applyAlignment="1" applyProtection="1">
      <alignment horizontal="left" wrapText="1"/>
    </xf>
    <xf numFmtId="167" fontId="30" fillId="0" borderId="1" xfId="5" applyNumberFormat="1" applyFont="1" applyFill="1" applyBorder="1" applyAlignment="1" applyProtection="1">
      <alignment horizontal="left" wrapText="1"/>
    </xf>
    <xf numFmtId="178" fontId="15" fillId="3" borderId="1" xfId="17" applyNumberFormat="1" applyFont="1" applyFill="1" applyBorder="1" applyAlignment="1" applyProtection="1">
      <alignment horizontal="center" wrapText="1"/>
      <protection locked="0"/>
    </xf>
    <xf numFmtId="0" fontId="19" fillId="0" borderId="86" xfId="17" applyFont="1" applyFill="1" applyBorder="1" applyAlignment="1" applyProtection="1">
      <alignment horizontal="center" wrapText="1"/>
    </xf>
    <xf numFmtId="0" fontId="19" fillId="0" borderId="1" xfId="17" applyFont="1" applyFill="1" applyBorder="1" applyAlignment="1" applyProtection="1">
      <alignment horizontal="center" wrapText="1"/>
    </xf>
    <xf numFmtId="0" fontId="15" fillId="0" borderId="86" xfId="17" applyFont="1" applyFill="1" applyBorder="1" applyAlignment="1" applyProtection="1">
      <alignment horizontal="center" wrapText="1"/>
    </xf>
    <xf numFmtId="0" fontId="9" fillId="2" borderId="94" xfId="17" applyFont="1" applyFill="1" applyBorder="1" applyAlignment="1" applyProtection="1">
      <alignment horizontal="left" wrapText="1"/>
    </xf>
    <xf numFmtId="0" fontId="9" fillId="3" borderId="1" xfId="17" applyFont="1" applyFill="1" applyBorder="1" applyAlignment="1" applyProtection="1">
      <alignment horizontal="center" wrapText="1"/>
      <protection locked="0"/>
    </xf>
    <xf numFmtId="0" fontId="19" fillId="0" borderId="88" xfId="17" applyFont="1" applyFill="1" applyBorder="1" applyAlignment="1" applyProtection="1">
      <alignment horizontal="center" vertical="center" textRotation="90"/>
    </xf>
    <xf numFmtId="0" fontId="19" fillId="0" borderId="91" xfId="17" applyFont="1" applyFill="1" applyBorder="1" applyAlignment="1" applyProtection="1">
      <alignment horizontal="center" vertical="center" textRotation="90"/>
    </xf>
    <xf numFmtId="0" fontId="19" fillId="0" borderId="92" xfId="17" applyFont="1" applyFill="1" applyBorder="1" applyAlignment="1" applyProtection="1">
      <alignment horizontal="center" vertical="center" textRotation="90"/>
    </xf>
    <xf numFmtId="0" fontId="15" fillId="2" borderId="92" xfId="17" applyFont="1" applyFill="1" applyBorder="1" applyAlignment="1" applyProtection="1">
      <alignment horizontal="center" vertical="center" textRotation="90"/>
    </xf>
    <xf numFmtId="0" fontId="15" fillId="2" borderId="97" xfId="17" applyFont="1" applyFill="1" applyBorder="1" applyAlignment="1" applyProtection="1">
      <alignment horizontal="center"/>
    </xf>
    <xf numFmtId="0" fontId="15" fillId="2" borderId="98" xfId="17" applyFont="1" applyFill="1" applyBorder="1" applyAlignment="1" applyProtection="1">
      <alignment horizontal="center"/>
    </xf>
    <xf numFmtId="0" fontId="15" fillId="2" borderId="99" xfId="17" applyFont="1" applyFill="1" applyBorder="1" applyAlignment="1" applyProtection="1">
      <alignment horizontal="center"/>
    </xf>
    <xf numFmtId="0" fontId="29" fillId="2" borderId="86" xfId="17" applyFont="1" applyFill="1" applyBorder="1" applyAlignment="1" applyProtection="1">
      <alignment horizontal="center" vertical="center" textRotation="90"/>
    </xf>
    <xf numFmtId="0" fontId="15" fillId="0" borderId="1" xfId="17" applyFont="1" applyFill="1" applyBorder="1" applyAlignment="1" applyProtection="1">
      <alignment horizontal="center" vertical="center" textRotation="90"/>
    </xf>
    <xf numFmtId="3" fontId="15" fillId="0" borderId="4" xfId="17" applyNumberFormat="1" applyFont="1" applyFill="1" applyBorder="1" applyAlignment="1" applyProtection="1">
      <alignment horizontal="center" wrapText="1"/>
    </xf>
    <xf numFmtId="3" fontId="15" fillId="0" borderId="6" xfId="17" applyNumberFormat="1" applyFont="1" applyFill="1" applyBorder="1" applyAlignment="1" applyProtection="1">
      <alignment horizontal="center" wrapText="1"/>
    </xf>
    <xf numFmtId="3" fontId="15" fillId="0" borderId="63" xfId="17" applyNumberFormat="1" applyFont="1" applyFill="1" applyBorder="1" applyAlignment="1" applyProtection="1">
      <alignment horizontal="center"/>
    </xf>
    <xf numFmtId="0" fontId="15" fillId="0" borderId="8" xfId="17" applyFont="1" applyFill="1" applyBorder="1" applyAlignment="1" applyProtection="1">
      <alignment horizontal="center"/>
    </xf>
    <xf numFmtId="0" fontId="15" fillId="0" borderId="9" xfId="17" applyFont="1" applyFill="1" applyBorder="1" applyAlignment="1" applyProtection="1">
      <alignment horizontal="center"/>
    </xf>
    <xf numFmtId="0" fontId="15" fillId="0" borderId="3" xfId="17" applyFont="1" applyFill="1" applyBorder="1" applyAlignment="1" applyProtection="1">
      <alignment horizontal="center"/>
    </xf>
    <xf numFmtId="0" fontId="15" fillId="2" borderId="8" xfId="17" applyFont="1" applyFill="1" applyBorder="1" applyAlignment="1" applyProtection="1">
      <alignment horizontal="center"/>
    </xf>
    <xf numFmtId="0" fontId="15" fillId="2" borderId="3" xfId="17" applyFont="1" applyFill="1" applyBorder="1" applyAlignment="1" applyProtection="1">
      <alignment horizontal="center"/>
    </xf>
    <xf numFmtId="178" fontId="15" fillId="0" borderId="8" xfId="17" applyNumberFormat="1" applyFont="1" applyFill="1" applyBorder="1" applyAlignment="1" applyProtection="1">
      <alignment horizontal="center"/>
    </xf>
    <xf numFmtId="178" fontId="15" fillId="0" borderId="9" xfId="17" applyNumberFormat="1" applyFont="1" applyFill="1" applyBorder="1" applyAlignment="1" applyProtection="1">
      <alignment horizontal="center"/>
    </xf>
    <xf numFmtId="178" fontId="15" fillId="0" borderId="3" xfId="17" applyNumberFormat="1" applyFont="1" applyFill="1" applyBorder="1" applyAlignment="1" applyProtection="1">
      <alignment horizontal="center"/>
    </xf>
    <xf numFmtId="3" fontId="15" fillId="0" borderId="76" xfId="17" applyNumberFormat="1" applyFont="1" applyFill="1" applyBorder="1" applyAlignment="1" applyProtection="1">
      <alignment horizontal="center"/>
    </xf>
    <xf numFmtId="3" fontId="15" fillId="0" borderId="5" xfId="17" applyNumberFormat="1" applyFont="1" applyFill="1" applyBorder="1" applyAlignment="1" applyProtection="1">
      <alignment horizontal="center"/>
    </xf>
    <xf numFmtId="3" fontId="15" fillId="0" borderId="6" xfId="17" applyNumberFormat="1" applyFont="1" applyFill="1" applyBorder="1" applyAlignment="1" applyProtection="1">
      <alignment horizontal="center"/>
    </xf>
    <xf numFmtId="3" fontId="15" fillId="0" borderId="77" xfId="17" applyNumberFormat="1" applyFont="1" applyFill="1" applyBorder="1" applyAlignment="1" applyProtection="1">
      <alignment horizontal="center"/>
    </xf>
    <xf numFmtId="3" fontId="15" fillId="0" borderId="0" xfId="17" applyNumberFormat="1" applyFont="1" applyFill="1" applyBorder="1" applyAlignment="1" applyProtection="1">
      <alignment horizontal="center"/>
    </xf>
    <xf numFmtId="3" fontId="15" fillId="0" borderId="60" xfId="17" applyNumberFormat="1" applyFont="1" applyFill="1" applyBorder="1" applyAlignment="1" applyProtection="1">
      <alignment horizontal="center"/>
    </xf>
    <xf numFmtId="3" fontId="15" fillId="0" borderId="78" xfId="17" applyNumberFormat="1" applyFont="1" applyFill="1" applyBorder="1" applyAlignment="1" applyProtection="1">
      <alignment horizontal="center"/>
    </xf>
    <xf numFmtId="3" fontId="15" fillId="0" borderId="58" xfId="17" applyNumberFormat="1" applyFont="1" applyFill="1" applyBorder="1" applyAlignment="1" applyProtection="1">
      <alignment horizontal="center"/>
    </xf>
    <xf numFmtId="3" fontId="15" fillId="0" borderId="59" xfId="17" applyNumberFormat="1" applyFont="1" applyFill="1" applyBorder="1" applyAlignment="1" applyProtection="1">
      <alignment horizontal="center"/>
    </xf>
    <xf numFmtId="167" fontId="9" fillId="8" borderId="63" xfId="1" applyNumberFormat="1" applyFont="1" applyFill="1" applyBorder="1" applyAlignment="1" applyProtection="1">
      <alignment horizontal="center"/>
      <protection locked="0"/>
    </xf>
    <xf numFmtId="0" fontId="14" fillId="2" borderId="75" xfId="17" applyFont="1" applyFill="1" applyBorder="1" applyAlignment="1" applyProtection="1">
      <alignment horizontal="center" vertical="center" textRotation="90"/>
    </xf>
    <xf numFmtId="0" fontId="17" fillId="8" borderId="1" xfId="17" applyFont="1" applyFill="1" applyBorder="1" applyAlignment="1" applyProtection="1">
      <alignment horizontal="center"/>
    </xf>
    <xf numFmtId="178" fontId="17" fillId="2" borderId="1" xfId="17" applyNumberFormat="1" applyFont="1" applyFill="1" applyBorder="1" applyAlignment="1" applyProtection="1">
      <alignment horizontal="center" wrapText="1"/>
    </xf>
    <xf numFmtId="0" fontId="17" fillId="2" borderId="4" xfId="17" applyNumberFormat="1" applyFont="1" applyFill="1" applyBorder="1" applyAlignment="1" applyProtection="1">
      <alignment horizontal="center" vertical="center" textRotation="90" wrapText="1"/>
    </xf>
    <xf numFmtId="0" fontId="17" fillId="2" borderId="43" xfId="17" applyNumberFormat="1" applyFont="1" applyFill="1" applyBorder="1" applyAlignment="1" applyProtection="1">
      <alignment horizontal="center" vertical="center" textRotation="90" wrapText="1"/>
    </xf>
    <xf numFmtId="0" fontId="17" fillId="2" borderId="56" xfId="17" applyNumberFormat="1" applyFont="1" applyFill="1" applyBorder="1" applyAlignment="1" applyProtection="1">
      <alignment horizontal="center" vertical="center" textRotation="90" wrapText="1"/>
    </xf>
    <xf numFmtId="0" fontId="82" fillId="0" borderId="0" xfId="0" applyFont="1" applyAlignment="1">
      <alignment horizontal="center"/>
    </xf>
    <xf numFmtId="0" fontId="73" fillId="0" borderId="0" xfId="0" applyFont="1" applyAlignment="1" applyProtection="1">
      <protection locked="0"/>
    </xf>
    <xf numFmtId="0" fontId="75" fillId="0" borderId="0" xfId="0" applyFont="1" applyAlignment="1" applyProtection="1">
      <alignment horizontal="right"/>
      <protection locked="0"/>
    </xf>
    <xf numFmtId="0" fontId="75" fillId="0" borderId="50" xfId="0" applyFont="1" applyBorder="1" applyAlignment="1" applyProtection="1">
      <alignment horizontal="right"/>
      <protection locked="0"/>
    </xf>
    <xf numFmtId="0" fontId="98" fillId="0" borderId="0" xfId="0" applyFont="1" applyAlignment="1">
      <alignment horizontal="center" vertical="center"/>
    </xf>
    <xf numFmtId="169" fontId="85" fillId="9" borderId="33" xfId="9" applyNumberFormat="1" applyFont="1" applyFill="1" applyBorder="1" applyAlignment="1" applyProtection="1">
      <alignment horizontal="center" vertical="center"/>
      <protection locked="0"/>
    </xf>
    <xf numFmtId="169" fontId="90" fillId="9" borderId="33" xfId="9" applyNumberFormat="1" applyFont="1" applyFill="1" applyBorder="1" applyAlignment="1" applyProtection="1">
      <alignment horizontal="center" vertical="center"/>
      <protection locked="0"/>
    </xf>
    <xf numFmtId="165" fontId="33" fillId="9" borderId="19" xfId="1" applyFill="1" applyBorder="1" applyAlignment="1" applyProtection="1">
      <alignment horizontal="center"/>
      <protection locked="0"/>
    </xf>
    <xf numFmtId="165" fontId="33" fillId="12" borderId="19" xfId="1" applyFill="1" applyBorder="1" applyAlignment="1" applyProtection="1">
      <alignment horizontal="center" vertical="center"/>
      <protection locked="0"/>
    </xf>
    <xf numFmtId="169" fontId="90" fillId="9" borderId="19" xfId="9" applyNumberFormat="1" applyFont="1" applyFill="1" applyBorder="1" applyAlignment="1" applyProtection="1">
      <alignment horizontal="center" vertical="center"/>
      <protection locked="0"/>
    </xf>
    <xf numFmtId="165" fontId="33" fillId="12" borderId="39" xfId="1" applyFill="1" applyBorder="1" applyAlignment="1" applyProtection="1">
      <alignment horizontal="center" vertical="center"/>
      <protection locked="0"/>
    </xf>
    <xf numFmtId="165" fontId="33" fillId="12" borderId="24" xfId="1" applyFill="1" applyBorder="1" applyAlignment="1" applyProtection="1">
      <alignment horizontal="center" vertical="center"/>
      <protection locked="0"/>
    </xf>
    <xf numFmtId="165" fontId="33" fillId="12" borderId="26" xfId="1" applyFill="1" applyBorder="1" applyAlignment="1" applyProtection="1">
      <alignment horizontal="center" vertical="center"/>
      <protection locked="0"/>
    </xf>
    <xf numFmtId="0" fontId="91" fillId="9" borderId="0" xfId="0" applyFont="1" applyFill="1" applyBorder="1" applyAlignment="1" applyProtection="1">
      <alignment horizontal="center" vertical="center" wrapText="1"/>
      <protection locked="0"/>
    </xf>
    <xf numFmtId="0" fontId="90" fillId="9" borderId="0" xfId="0" applyFont="1" applyFill="1" applyBorder="1" applyAlignment="1" applyProtection="1">
      <alignment horizontal="left" vertical="center"/>
      <protection locked="0"/>
    </xf>
    <xf numFmtId="0" fontId="87" fillId="9" borderId="51" xfId="0" applyFont="1" applyFill="1" applyBorder="1" applyAlignment="1" applyProtection="1">
      <alignment horizontal="center" vertical="center"/>
      <protection locked="0"/>
    </xf>
    <xf numFmtId="0" fontId="87" fillId="9" borderId="51" xfId="0" applyFont="1" applyFill="1" applyBorder="1" applyAlignment="1" applyProtection="1">
      <alignment horizontal="center" vertical="center" wrapText="1"/>
      <protection locked="0"/>
    </xf>
    <xf numFmtId="165" fontId="33" fillId="11" borderId="39" xfId="1" applyFill="1" applyBorder="1" applyAlignment="1" applyProtection="1">
      <alignment horizontal="center" vertical="center"/>
      <protection locked="0"/>
    </xf>
    <xf numFmtId="165" fontId="33" fillId="11" borderId="24" xfId="1" applyFill="1" applyBorder="1" applyAlignment="1" applyProtection="1">
      <alignment horizontal="center" vertical="center"/>
      <protection locked="0"/>
    </xf>
    <xf numFmtId="165" fontId="33" fillId="11" borderId="26" xfId="1" applyFill="1" applyBorder="1" applyAlignment="1" applyProtection="1">
      <alignment horizontal="center" vertical="center"/>
      <protection locked="0"/>
    </xf>
    <xf numFmtId="0" fontId="87" fillId="9" borderId="51" xfId="0" quotePrefix="1" applyFont="1" applyFill="1" applyBorder="1" applyAlignment="1" applyProtection="1">
      <alignment horizontal="center" vertical="center"/>
      <protection locked="0"/>
    </xf>
    <xf numFmtId="0" fontId="65" fillId="9" borderId="0" xfId="0" applyFont="1" applyFill="1" applyAlignment="1">
      <alignment horizontal="center" vertical="center"/>
    </xf>
    <xf numFmtId="0" fontId="0" fillId="9" borderId="0" xfId="0" applyFont="1" applyFill="1" applyAlignment="1">
      <alignment vertical="center"/>
    </xf>
    <xf numFmtId="0" fontId="103" fillId="9" borderId="30" xfId="0" applyFont="1" applyFill="1" applyBorder="1" applyAlignment="1">
      <alignment horizontal="center" vertical="center"/>
    </xf>
    <xf numFmtId="0" fontId="103" fillId="9" borderId="31" xfId="0" applyFont="1" applyFill="1" applyBorder="1" applyAlignment="1">
      <alignment horizontal="center" vertical="center"/>
    </xf>
    <xf numFmtId="0" fontId="103" fillId="9" borderId="32" xfId="0" applyFont="1" applyFill="1" applyBorder="1" applyAlignment="1">
      <alignment horizontal="center" vertical="center"/>
    </xf>
    <xf numFmtId="0" fontId="89" fillId="9" borderId="21" xfId="38" applyFont="1" applyFill="1" applyBorder="1" applyAlignment="1" applyProtection="1">
      <alignment horizontal="center" vertical="center"/>
      <protection locked="0" hidden="1"/>
    </xf>
    <xf numFmtId="0" fontId="89" fillId="9" borderId="31" xfId="38" applyFont="1" applyFill="1" applyBorder="1" applyAlignment="1" applyProtection="1">
      <alignment horizontal="center" vertical="center"/>
      <protection locked="0" hidden="1"/>
    </xf>
    <xf numFmtId="0" fontId="89" fillId="9" borderId="112" xfId="38" applyFont="1" applyFill="1" applyBorder="1" applyAlignment="1" applyProtection="1">
      <alignment horizontal="center" vertical="center"/>
      <protection locked="0" hidden="1"/>
    </xf>
    <xf numFmtId="0" fontId="5" fillId="0" borderId="0" xfId="0" applyFont="1" applyAlignment="1" applyProtection="1">
      <protection locked="0"/>
    </xf>
  </cellXfs>
  <cellStyles count="45">
    <cellStyle name="20% - Accent1 2" xfId="41"/>
    <cellStyle name="20% - Accent6 2" xfId="42"/>
    <cellStyle name="Comma" xfId="1" builtinId="3"/>
    <cellStyle name="Comma 2" xfId="2"/>
    <cellStyle name="Comma 2 2" xfId="3"/>
    <cellStyle name="Comma 2 2 2" xfId="4"/>
    <cellStyle name="Comma 3" xfId="5"/>
    <cellStyle name="Comma 3 2" xfId="6"/>
    <cellStyle name="Comma 3 3" xfId="7"/>
    <cellStyle name="Comma 4" xfId="8"/>
    <cellStyle name="Comma 4 2" xfId="9"/>
    <cellStyle name="Comma 5" xfId="10"/>
    <cellStyle name="Comma 5 2" xfId="11"/>
    <cellStyle name="Comma 6" xfId="12"/>
    <cellStyle name="Comma 6 2" xfId="13"/>
    <cellStyle name="Comma 7" xfId="14"/>
    <cellStyle name="Comma 8" xfId="15"/>
    <cellStyle name="Comma 9" xfId="44"/>
    <cellStyle name="Hyperlink" xfId="38" builtinId="8"/>
    <cellStyle name="Hyperlink 2" xfId="16"/>
    <cellStyle name="Hyperlink 3" xfId="40"/>
    <cellStyle name="Normal" xfId="0" builtinId="0"/>
    <cellStyle name="Normal 2" xfId="17"/>
    <cellStyle name="Normal 2 2" xfId="18"/>
    <cellStyle name="Normal 2 2 2" xfId="19"/>
    <cellStyle name="Normal 2 2 3" xfId="20"/>
    <cellStyle name="Normal 2 2 3 2" xfId="21"/>
    <cellStyle name="Normal 2 3" xfId="22"/>
    <cellStyle name="Normal 2 3 2" xfId="23"/>
    <cellStyle name="Normal 2 3 2 2" xfId="24"/>
    <cellStyle name="Normal 3" xfId="25"/>
    <cellStyle name="Normal 3 2" xfId="26"/>
    <cellStyle name="Normal 4" xfId="27"/>
    <cellStyle name="Normal 5" xfId="28"/>
    <cellStyle name="Normal 5 2" xfId="29"/>
    <cellStyle name="Normal 6" xfId="30"/>
    <cellStyle name="Normal 7" xfId="31"/>
    <cellStyle name="Normal 7 2" xfId="39"/>
    <cellStyle name="Normal 8" xfId="32"/>
    <cellStyle name="Normal 9" xfId="43"/>
    <cellStyle name="Percent" xfId="33" builtinId="5"/>
    <cellStyle name="Percent 2" xfId="34"/>
    <cellStyle name="Percent 3" xfId="35"/>
    <cellStyle name="Percent 4" xfId="36"/>
    <cellStyle name="Style 1" xfId="37"/>
  </cellStyles>
  <dxfs count="42">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alignment textRotation="0" relativeIndent="0" justifyLastLine="0" shrinkToFit="0" readingOrder="0"/>
      <border diagonalUp="0" diagonalDown="0">
        <right/>
        <top/>
        <bottom/>
      </border>
      <protection locked="1" hidden="0"/>
    </dxf>
    <dxf>
      <font>
        <b val="0"/>
        <i val="0"/>
        <strike val="0"/>
        <condense val="0"/>
        <extend val="0"/>
        <outline val="0"/>
        <shadow val="0"/>
        <u val="none"/>
        <vertAlign val="baseline"/>
        <sz val="11"/>
        <color rgb="FF000000"/>
        <name val="Calibri"/>
        <scheme val="none"/>
      </font>
      <numFmt numFmtId="0" formatCode="General"/>
      <alignment textRotation="0" relativeIndent="0" justifyLastLine="0" shrinkToFit="0" readingOrder="0"/>
      <border diagonalUp="0" diagonalDown="0">
        <right style="thin">
          <color rgb="FF93CDDD"/>
        </right>
        <top/>
        <bottom/>
      </border>
      <protection locked="1" hidden="0"/>
    </dxf>
    <dxf>
      <border outline="0">
        <bottom style="thin">
          <color rgb="FF93CDDD"/>
        </bottom>
      </border>
    </dxf>
    <dxf>
      <font>
        <b/>
        <i val="0"/>
        <strike val="0"/>
        <condense val="0"/>
        <extend val="0"/>
        <outline val="0"/>
        <shadow val="0"/>
        <u val="none"/>
        <vertAlign val="baseline"/>
        <sz val="10"/>
        <color theme="1"/>
        <name val="Arial"/>
        <scheme val="none"/>
      </font>
      <numFmt numFmtId="0" formatCode="General"/>
      <fill>
        <patternFill patternType="solid">
          <fgColor theme="8" tint="0.79998168889431442"/>
          <bgColor theme="8" tint="0.79998168889431442"/>
        </patternFill>
      </fill>
      <alignment horizontal="center" vertical="center" textRotation="0" wrapText="1" relativeIndent="0" justifyLastLine="0" shrinkToFit="0" readingOrder="0"/>
      <border diagonalUp="0" diagonalDown="0">
        <left style="thin">
          <color theme="8" tint="0.39997558519241921"/>
        </left>
        <right style="thin">
          <color theme="8" tint="0.39997558519241921"/>
        </right>
        <top/>
        <bottom/>
      </border>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protection locked="1" hidden="0"/>
    </dxf>
    <dxf>
      <font>
        <b val="0"/>
        <i val="0"/>
        <strike val="0"/>
        <condense val="0"/>
        <extend val="0"/>
        <outline val="0"/>
        <shadow val="0"/>
        <u val="none"/>
        <vertAlign val="baseline"/>
        <sz val="11"/>
        <color theme="1"/>
        <name val="Calibri"/>
        <scheme val="minor"/>
      </font>
      <numFmt numFmtId="0" formatCode="General"/>
      <alignment textRotation="0" relativeIndent="0" justifyLastLine="0" shrinkToFit="0" readingOrder="0"/>
      <border diagonalUp="0" diagonalDown="0">
        <right/>
        <top/>
        <bottom/>
      </border>
      <protection locked="1" hidden="0"/>
    </dxf>
    <dxf>
      <font>
        <b val="0"/>
        <i val="0"/>
        <strike val="0"/>
        <condense val="0"/>
        <extend val="0"/>
        <outline val="0"/>
        <shadow val="0"/>
        <u val="none"/>
        <vertAlign val="baseline"/>
        <sz val="11"/>
        <color rgb="FF000000"/>
        <name val="Calibri"/>
        <scheme val="none"/>
      </font>
      <numFmt numFmtId="0" formatCode="General"/>
      <alignment textRotation="0" relativeIndent="0" justifyLastLine="0" shrinkToFit="0" readingOrder="0"/>
      <border diagonalUp="0" diagonalDown="0">
        <right style="thin">
          <color rgb="FF93CDDD"/>
        </right>
        <top/>
        <bottom/>
      </border>
      <protection locked="1" hidden="0"/>
    </dxf>
    <dxf>
      <border outline="0">
        <bottom style="thin">
          <color theme="8" tint="0.39997558519241921"/>
        </bottom>
      </border>
    </dxf>
    <dxf>
      <font>
        <b/>
        <i val="0"/>
        <strike val="0"/>
        <condense val="0"/>
        <extend val="0"/>
        <outline val="0"/>
        <shadow val="0"/>
        <u val="none"/>
        <vertAlign val="baseline"/>
        <sz val="10"/>
        <color theme="1"/>
        <name val="Arial"/>
        <scheme val="none"/>
      </font>
      <numFmt numFmtId="0" formatCode="General"/>
      <fill>
        <patternFill patternType="solid">
          <fgColor theme="8" tint="0.79998168889431442"/>
          <bgColor theme="8" tint="0.79998168889431442"/>
        </patternFill>
      </fill>
      <alignment horizontal="center" vertical="center" textRotation="0" wrapText="1" relativeIndent="0" justifyLastLine="0" shrinkToFit="0" readingOrder="0"/>
      <border diagonalUp="0" diagonalDown="0" outline="0">
        <left style="thin">
          <color theme="8" tint="0.39997558519241921"/>
        </left>
        <right style="thin">
          <color theme="8" tint="0.39997558519241921"/>
        </right>
        <top/>
        <bottom/>
      </border>
    </dxf>
    <dxf>
      <font>
        <b val="0"/>
        <condense val="0"/>
        <extend val="0"/>
        <color indexed="9"/>
      </font>
    </dxf>
    <dxf>
      <font>
        <b/>
        <i val="0"/>
        <condense val="0"/>
        <extend val="0"/>
        <color indexed="9"/>
      </font>
      <fill>
        <patternFill patternType="solid">
          <fgColor indexed="60"/>
          <bgColor indexed="10"/>
        </patternFill>
      </fill>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00B050"/>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3</xdr:row>
      <xdr:rowOff>228600</xdr:rowOff>
    </xdr:from>
    <xdr:to>
      <xdr:col>7</xdr:col>
      <xdr:colOff>885825</xdr:colOff>
      <xdr:row>4</xdr:row>
      <xdr:rowOff>219075</xdr:rowOff>
    </xdr:to>
    <xdr:sp macro="" textlink="">
      <xdr:nvSpPr>
        <xdr:cNvPr id="14338" name="Control 2"/>
        <xdr:cNvSpPr>
          <a:spLocks noChangeArrowheads="1" noChangeShapeType="1"/>
        </xdr:cNvSpPr>
      </xdr:nvSpPr>
      <xdr:spPr bwMode="auto">
        <a:xfrm>
          <a:off x="8648700" y="581025"/>
          <a:ext cx="885825" cy="190500"/>
        </a:xfrm>
        <a:prstGeom prst="rect">
          <a:avLst/>
        </a:prstGeom>
        <a:noFill/>
        <a:ln w="9525">
          <a:noFill/>
          <a:miter lim="800000"/>
          <a:headEnd/>
          <a:tailEnd/>
        </a:ln>
      </xdr:spPr>
    </xdr:sp>
    <xdr:clientData/>
  </xdr:twoCellAnchor>
  <xdr:twoCellAnchor>
    <xdr:from>
      <xdr:col>7</xdr:col>
      <xdr:colOff>9525</xdr:colOff>
      <xdr:row>3</xdr:row>
      <xdr:rowOff>0</xdr:rowOff>
    </xdr:from>
    <xdr:to>
      <xdr:col>7</xdr:col>
      <xdr:colOff>904875</xdr:colOff>
      <xdr:row>3</xdr:row>
      <xdr:rowOff>219075</xdr:rowOff>
    </xdr:to>
    <xdr:sp macro="" textlink="">
      <xdr:nvSpPr>
        <xdr:cNvPr id="14339" name="Control 3"/>
        <xdr:cNvSpPr>
          <a:spLocks noChangeArrowheads="1" noChangeShapeType="1"/>
        </xdr:cNvSpPr>
      </xdr:nvSpPr>
      <xdr:spPr bwMode="auto">
        <a:xfrm>
          <a:off x="8658225" y="390525"/>
          <a:ext cx="895350" cy="190500"/>
        </a:xfrm>
        <a:prstGeom prst="rect">
          <a:avLst/>
        </a:prstGeom>
        <a:noFill/>
        <a:ln w="9525">
          <a:noFill/>
          <a:miter lim="800000"/>
          <a:headEnd/>
          <a:tailEnd/>
        </a:ln>
      </xdr:spPr>
    </xdr:sp>
    <xdr:clientData/>
  </xdr:twoCellAnchor>
  <xdr:twoCellAnchor>
    <xdr:from>
      <xdr:col>8</xdr:col>
      <xdr:colOff>9525</xdr:colOff>
      <xdr:row>5</xdr:row>
      <xdr:rowOff>114300</xdr:rowOff>
    </xdr:from>
    <xdr:to>
      <xdr:col>8</xdr:col>
      <xdr:colOff>600075</xdr:colOff>
      <xdr:row>5</xdr:row>
      <xdr:rowOff>114300</xdr:rowOff>
    </xdr:to>
    <xdr:cxnSp macro="">
      <xdr:nvCxnSpPr>
        <xdr:cNvPr id="14340" name="Straight Arrow Connector 5"/>
        <xdr:cNvCxnSpPr>
          <a:cxnSpLocks noChangeShapeType="1"/>
        </xdr:cNvCxnSpPr>
      </xdr:nvCxnSpPr>
      <xdr:spPr bwMode="auto">
        <a:xfrm rot="10800000" flipV="1">
          <a:off x="9829800" y="885825"/>
          <a:ext cx="590550" cy="0"/>
        </a:xfrm>
        <a:prstGeom prst="straightConnector1">
          <a:avLst/>
        </a:prstGeom>
        <a:noFill/>
        <a:ln w="9525" algn="ctr">
          <a:solidFill>
            <a:srgbClr val="400000"/>
          </a:solidFill>
          <a:round/>
          <a:headEnd/>
          <a:tailEnd type="arrow" w="med" len="med"/>
        </a:ln>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Z/C/Users/shakeelanwar/Library/Containers/com.apple.mail/Data/Library/Mail%20Downloads/57A36B8B-3DA6-4394-B41C-4FCE94F8D49C/ABWA%20Knowledge%20Salary%20Sheet_Okay_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OSHIBA/Desktop/RETURN%202020/RETURN%20FORM/MANUAL%20RETURN/'FINAL%20CALCULATION%20RETURN%20FORM%202020'%20-%20EMAIL%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TOSHIBA/Desktop/RETURN%202021/CALCULATOR/''''''NEW%20FINAL%20RETURN%202022%20-%20FOR%20IMPORTER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Faraz/Downloads/''FORMULA%20RETURN%202019''%20-%20FOR%20NOMAN%20TARIQ%20(FACEBOOK%20GROUP%20MEMBER%20FBR%20TAX%20RETURN%20GUIDELIN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Faraz/Downloads/reserv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Ahsan%20&amp;%20Co/Income%20Tax%20Returns%202013/1%20Final%20Return%20201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20%20Income%20Tax%20Returns%202014/1%20A%20Return%202014%20With%20udated%20pl.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Administrator/Desktop/Stuff/Raana/IT/Declaration%20Forms%202013/IT-2%20TY-2013%20without%20formul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ctrical"/>
      <sheetName val="WAGES SHEET ALL"/>
      <sheetName val="LESS THE 25000"/>
      <sheetName val="LESS THEN 1 LAC"/>
      <sheetName val="GRT THEN 1 LAC"/>
      <sheetName val="Sheet3"/>
      <sheetName val="Work Sheet"/>
    </sheetNames>
    <sheetDataSet>
      <sheetData sheetId="0">
        <row r="5">
          <cell r="AJ5">
            <v>1</v>
          </cell>
          <cell r="AK5">
            <v>1</v>
          </cell>
          <cell r="AL5">
            <v>1</v>
          </cell>
          <cell r="AM5">
            <v>1</v>
          </cell>
          <cell r="AN5">
            <v>1</v>
          </cell>
          <cell r="AO5">
            <v>1</v>
          </cell>
          <cell r="AP5">
            <v>1</v>
          </cell>
          <cell r="AQ5">
            <v>1</v>
          </cell>
          <cell r="AR5">
            <v>1</v>
          </cell>
          <cell r="AS5">
            <v>1</v>
          </cell>
          <cell r="AT5">
            <v>1</v>
          </cell>
          <cell r="AU5">
            <v>1</v>
          </cell>
          <cell r="AV5">
            <v>1</v>
          </cell>
          <cell r="AW5">
            <v>1</v>
          </cell>
          <cell r="AX5">
            <v>1</v>
          </cell>
          <cell r="AY5">
            <v>1</v>
          </cell>
        </row>
      </sheetData>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ISCLAIMER"/>
      <sheetName val="PROFILE"/>
      <sheetName val="Work Sheet"/>
      <sheetName val="IND (BUS PLUS)"/>
      <sheetName val="Annex-A"/>
      <sheetName val="Annex-B"/>
      <sheetName val="Annex-F"/>
      <sheetName val="Wealth Statement"/>
      <sheetName val="Annex-C"/>
      <sheetName val="Annex-D"/>
      <sheetName val="Annex-E"/>
      <sheetName val="MINIMUM TAX "/>
    </sheetNames>
    <sheetDataSet>
      <sheetData sheetId="0" refreshError="1"/>
      <sheetData sheetId="1"/>
      <sheetData sheetId="2" refreshError="1"/>
      <sheetData sheetId="3" refreshError="1"/>
      <sheetData sheetId="4">
        <row r="4">
          <cell r="C4">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ISCLAIMER"/>
      <sheetName val="PROFILE"/>
      <sheetName val="BANKS"/>
      <sheetName val="Work Sheet"/>
      <sheetName val="IND (BUS PLUS)"/>
      <sheetName val="Annex-A"/>
      <sheetName val="Annex-B"/>
      <sheetName val="Annex-F"/>
      <sheetName val="Wealth Statement"/>
      <sheetName val="Annex-C"/>
      <sheetName val="Annex-D"/>
      <sheetName val="Annex-E"/>
      <sheetName val="MINIMUM TAX "/>
      <sheetName val="UTILITY"/>
      <sheetName val="UTILITY (2)"/>
    </sheetNames>
    <sheetDataSet>
      <sheetData sheetId="0"/>
      <sheetData sheetId="1"/>
      <sheetData sheetId="2"/>
      <sheetData sheetId="3"/>
      <sheetData sheetId="4"/>
      <sheetData sheetId="5">
        <row r="4">
          <cell r="C4">
            <v>0</v>
          </cell>
        </row>
      </sheetData>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ALARY"/>
      <sheetName val="NORMAL &amp; PRESUMTIVE INCOME(IND)"/>
      <sheetName val="NORMAL &amp; PRESUMTIVE INCOME(AOP)"/>
      <sheetName val="PROPERTY SLAB"/>
      <sheetName val="PROFILE"/>
      <sheetName val="Work Sheet"/>
      <sheetName val="IND (BUS PLUS)"/>
      <sheetName val="Annex-A"/>
      <sheetName val="Annex-B"/>
      <sheetName val="Annex-F"/>
      <sheetName val="Wealth Statement"/>
      <sheetName val="Annex-C"/>
      <sheetName val="Annex-D"/>
      <sheetName val="Annex-E"/>
      <sheetName val="IND (PROP-CG-O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C4">
            <v>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ALC"/>
      <sheetName val="P &amp; L"/>
      <sheetName val="Elect"/>
      <sheetName val="Work Sheet"/>
      <sheetName val="IND (BUS PLUS)"/>
      <sheetName val="Annex-A"/>
      <sheetName val="Annex-B"/>
      <sheetName val="Annex-F"/>
      <sheetName val="Rec"/>
      <sheetName val="Cash"/>
      <sheetName val="Wealth Statement"/>
      <sheetName val="Annex-C"/>
      <sheetName val="Annex-D"/>
      <sheetName val="Annex-E"/>
      <sheetName val="IND (PROP-CG-OS)"/>
      <sheetName val="SALARY"/>
    </sheetNames>
    <sheetDataSet>
      <sheetData sheetId="0"/>
      <sheetData sheetId="1"/>
      <sheetData sheetId="2"/>
      <sheetData sheetId="3"/>
      <sheetData sheetId="4"/>
      <sheetData sheetId="5">
        <row r="4">
          <cell r="C4">
            <v>0</v>
          </cell>
        </row>
      </sheetData>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 &amp; L"/>
      <sheetName val="INDIVIDUAL-AOP (1 of 2)"/>
      <sheetName val="INDIVIDUAL-AOP (2 of 2)"/>
      <sheetName val="Annex-A"/>
      <sheetName val="Annex-B"/>
      <sheetName val="Annex-C"/>
      <sheetName val="Annex-D"/>
      <sheetName val="Annex-E"/>
      <sheetName val="Annex-F"/>
      <sheetName val="ANNEX-G"/>
      <sheetName val="Annex-H"/>
      <sheetName val="Annex-J"/>
      <sheetName val="Rec"/>
      <sheetName val="Cash"/>
      <sheetName val="WS1"/>
      <sheetName val="WS2"/>
      <sheetName val="WORKSHEET"/>
      <sheetName val="Sheet8"/>
      <sheetName val="Elect"/>
      <sheetName val="M-Relif"/>
      <sheetName val="Bill"/>
      <sheetName val="salary calculat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 &amp; L"/>
      <sheetName val="Work Sheet"/>
      <sheetName val="Elect"/>
      <sheetName val="IND-AOP (BUS PLUS)"/>
      <sheetName val="Annex-A"/>
      <sheetName val="Annex-B"/>
      <sheetName val="Annex-F"/>
      <sheetName val="Rec"/>
      <sheetName val="Cash"/>
      <sheetName val="Wealth Statement"/>
      <sheetName val="YEILD ACCOUNT"/>
      <sheetName val="IND (SAL ONLY)"/>
      <sheetName val="IND (SAL-PROP-CG-OS)"/>
      <sheetName val="AOP (PROP-CG-OS)"/>
      <sheetName val="Annex-C"/>
      <sheetName val="Annex-D"/>
      <sheetName val="Annex-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DIVIDUAL-AOP (1 of 2)"/>
      <sheetName val="INDIVIDUAL-AOP (2 of 2)"/>
      <sheetName val="Annex-A"/>
      <sheetName val="Annex-B"/>
      <sheetName val="Annex-C"/>
      <sheetName val="Annex-D"/>
      <sheetName val="Annex-E"/>
      <sheetName val="Annex-F"/>
      <sheetName val="ANNEX-G"/>
      <sheetName val="Annex-H"/>
      <sheetName val="Annex-J"/>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ables/table1.xml><?xml version="1.0" encoding="utf-8"?>
<table xmlns="http://schemas.openxmlformats.org/spreadsheetml/2006/main" id="3" name="Table26182248343511" displayName="Table26182248343511" ref="M8:T24" totalsRowShown="0" headerRowDxfId="21" dataDxfId="19" headerRowBorderDxfId="20" dataCellStyle="Comma">
  <autoFilter ref="M8:T24"/>
  <tableColumns count="8">
    <tableColumn id="9" name="SLAB" dataDxfId="18" dataCellStyle="Comma"/>
    <tableColumn id="1" name="Where the taxable Income Exceed" dataDxfId="17" dataCellStyle="Comma"/>
    <tableColumn id="2" name="To" dataDxfId="16" dataCellStyle="Comma"/>
    <tableColumn id="3" name="but does not exceed rupees" dataDxfId="15" dataCellStyle="Comma"/>
    <tableColumn id="4" name="Rate Of Tax " dataDxfId="14" dataCellStyle="Percent"/>
    <tableColumn id="11" name="Addition" dataDxfId="13" dataCellStyle="Percent"/>
    <tableColumn id="10" name="TAXABLE AMOUNT" dataDxfId="12" dataCellStyle="Comma"/>
    <tableColumn id="7" name="TAX PAYABLE" dataDxfId="11" dataCellStyle="Comma"/>
  </tableColumns>
  <tableStyleInfo name="TableStyleMedium2" showFirstColumn="0" showLastColumn="0" showRowStripes="1" showColumnStripes="0"/>
</table>
</file>

<file path=xl/tables/table2.xml><?xml version="1.0" encoding="utf-8"?>
<table xmlns="http://schemas.openxmlformats.org/spreadsheetml/2006/main" id="1" name="Table26182248343" displayName="Table26182248343" ref="A6:H22" totalsRowShown="0" headerRowDxfId="10" dataDxfId="8" headerRowBorderDxfId="9" dataCellStyle="Comma">
  <autoFilter ref="A6:H22"/>
  <tableColumns count="8">
    <tableColumn id="9" name="SLAB" dataDxfId="7" dataCellStyle="Comma"/>
    <tableColumn id="1" name="Where the taxable Income Exceed" dataDxfId="6" dataCellStyle="Comma"/>
    <tableColumn id="2" name="To" dataDxfId="5" dataCellStyle="Comma"/>
    <tableColumn id="3" name="but does not exceed rupees" dataDxfId="4" dataCellStyle="Comma"/>
    <tableColumn id="4" name="Rate Of Tax " dataDxfId="3" dataCellStyle="Percent"/>
    <tableColumn id="11" name="Addition" dataDxfId="2" dataCellStyle="Percent"/>
    <tableColumn id="10" name="TAXABLE AMOUNT" dataDxfId="1" dataCellStyle="Comma"/>
    <tableColumn id="7" name="TAX PAYABLE" dataDxfId="0" dataCellStyle="Comm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ibrahimkhan_co@yahoo.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5"/>
  <sheetViews>
    <sheetView topLeftCell="A23" workbookViewId="0">
      <selection sqref="A1:C1"/>
    </sheetView>
  </sheetViews>
  <sheetFormatPr defaultColWidth="10.109375" defaultRowHeight="15.6" x14ac:dyDescent="0.3"/>
  <cols>
    <col min="1" max="1" width="12.5546875" style="1" customWidth="1"/>
    <col min="2" max="2" width="4.6640625" style="1" customWidth="1"/>
    <col min="3" max="3" width="138.6640625" style="6" customWidth="1"/>
    <col min="4" max="16384" width="10.109375" style="2"/>
  </cols>
  <sheetData>
    <row r="1" spans="1:3" ht="15.75" customHeight="1" x14ac:dyDescent="0.3">
      <c r="A1" s="744" t="s">
        <v>0</v>
      </c>
      <c r="B1" s="745"/>
      <c r="C1" s="746"/>
    </row>
    <row r="2" spans="1:3" ht="15.75" customHeight="1" x14ac:dyDescent="0.3">
      <c r="A2" s="192" t="s">
        <v>1</v>
      </c>
      <c r="B2" s="3" t="s">
        <v>2</v>
      </c>
      <c r="C2" s="193" t="s">
        <v>3</v>
      </c>
    </row>
    <row r="3" spans="1:3" ht="15.75" customHeight="1" x14ac:dyDescent="0.3">
      <c r="A3" s="748" t="s">
        <v>4</v>
      </c>
      <c r="B3" s="751"/>
      <c r="C3" s="194" t="s">
        <v>347</v>
      </c>
    </row>
    <row r="4" spans="1:3" ht="15.75" customHeight="1" x14ac:dyDescent="0.3">
      <c r="A4" s="749"/>
      <c r="B4" s="752"/>
      <c r="C4" s="195" t="s">
        <v>356</v>
      </c>
    </row>
    <row r="5" spans="1:3" ht="15.75" customHeight="1" x14ac:dyDescent="0.3">
      <c r="A5" s="749"/>
      <c r="B5" s="752"/>
      <c r="C5" s="195" t="s">
        <v>348</v>
      </c>
    </row>
    <row r="6" spans="1:3" x14ac:dyDescent="0.3">
      <c r="A6" s="749"/>
      <c r="B6" s="752"/>
      <c r="C6" s="196" t="s">
        <v>349</v>
      </c>
    </row>
    <row r="7" spans="1:3" ht="15.75" customHeight="1" x14ac:dyDescent="0.3">
      <c r="A7" s="749"/>
      <c r="B7" s="752"/>
      <c r="C7" s="196" t="s">
        <v>350</v>
      </c>
    </row>
    <row r="8" spans="1:3" ht="15.75" customHeight="1" x14ac:dyDescent="0.3">
      <c r="A8" s="749"/>
      <c r="B8" s="752"/>
      <c r="C8" s="197" t="s">
        <v>357</v>
      </c>
    </row>
    <row r="9" spans="1:3" ht="15.75" customHeight="1" x14ac:dyDescent="0.3">
      <c r="A9" s="749"/>
      <c r="B9" s="752"/>
      <c r="C9" s="197" t="s">
        <v>358</v>
      </c>
    </row>
    <row r="10" spans="1:3" ht="45.6" x14ac:dyDescent="0.3">
      <c r="A10" s="749"/>
      <c r="B10" s="752"/>
      <c r="C10" s="195" t="s">
        <v>359</v>
      </c>
    </row>
    <row r="11" spans="1:3" ht="15.75" customHeight="1" x14ac:dyDescent="0.3">
      <c r="A11" s="749"/>
      <c r="B11" s="752"/>
      <c r="C11" s="195" t="s">
        <v>360</v>
      </c>
    </row>
    <row r="12" spans="1:3" ht="15.75" customHeight="1" x14ac:dyDescent="0.3">
      <c r="A12" s="749"/>
      <c r="B12" s="752"/>
      <c r="C12" s="195" t="s">
        <v>361</v>
      </c>
    </row>
    <row r="13" spans="1:3" ht="15.75" customHeight="1" x14ac:dyDescent="0.3">
      <c r="A13" s="749"/>
      <c r="B13" s="752"/>
      <c r="C13" s="195" t="s">
        <v>362</v>
      </c>
    </row>
    <row r="14" spans="1:3" ht="15.75" customHeight="1" x14ac:dyDescent="0.3">
      <c r="A14" s="749"/>
      <c r="B14" s="752"/>
      <c r="C14" s="195" t="s">
        <v>363</v>
      </c>
    </row>
    <row r="15" spans="1:3" ht="30.6" x14ac:dyDescent="0.3">
      <c r="A15" s="749"/>
      <c r="B15" s="752"/>
      <c r="C15" s="195" t="s">
        <v>366</v>
      </c>
    </row>
    <row r="16" spans="1:3" ht="45.75" customHeight="1" x14ac:dyDescent="0.3">
      <c r="A16" s="749"/>
      <c r="B16" s="752"/>
      <c r="C16" s="195" t="s">
        <v>364</v>
      </c>
    </row>
    <row r="17" spans="1:3" ht="15" customHeight="1" x14ac:dyDescent="0.3">
      <c r="A17" s="749"/>
      <c r="B17" s="752"/>
      <c r="C17" s="195" t="s">
        <v>365</v>
      </c>
    </row>
    <row r="18" spans="1:3" ht="15.75" customHeight="1" x14ac:dyDescent="0.3">
      <c r="A18" s="749"/>
      <c r="B18" s="752"/>
      <c r="C18" s="198" t="s">
        <v>5</v>
      </c>
    </row>
    <row r="19" spans="1:3" ht="15.75" customHeight="1" x14ac:dyDescent="0.3">
      <c r="A19" s="749"/>
      <c r="B19" s="752"/>
      <c r="C19" s="195" t="s">
        <v>351</v>
      </c>
    </row>
    <row r="20" spans="1:3" ht="15.75" customHeight="1" x14ac:dyDescent="0.3">
      <c r="A20" s="749"/>
      <c r="B20" s="752"/>
      <c r="C20" s="195" t="s">
        <v>352</v>
      </c>
    </row>
    <row r="21" spans="1:3" x14ac:dyDescent="0.3">
      <c r="A21" s="749"/>
      <c r="B21" s="752"/>
      <c r="C21" s="195" t="s">
        <v>354</v>
      </c>
    </row>
    <row r="22" spans="1:3" ht="15.75" customHeight="1" x14ac:dyDescent="0.3">
      <c r="A22" s="749"/>
      <c r="B22" s="752"/>
      <c r="C22" s="195" t="s">
        <v>353</v>
      </c>
    </row>
    <row r="23" spans="1:3" ht="15.75" customHeight="1" x14ac:dyDescent="0.3">
      <c r="A23" s="749"/>
      <c r="B23" s="752"/>
      <c r="C23" s="199" t="s">
        <v>355</v>
      </c>
    </row>
    <row r="24" spans="1:3" ht="30.6" x14ac:dyDescent="0.3">
      <c r="A24" s="749"/>
      <c r="B24" s="752"/>
      <c r="C24" s="200" t="s">
        <v>6</v>
      </c>
    </row>
    <row r="25" spans="1:3" ht="60.6" x14ac:dyDescent="0.3">
      <c r="A25" s="749"/>
      <c r="B25" s="752"/>
      <c r="C25" s="200" t="s">
        <v>7</v>
      </c>
    </row>
    <row r="26" spans="1:3" ht="15.75" customHeight="1" x14ac:dyDescent="0.3">
      <c r="A26" s="749"/>
      <c r="B26" s="752"/>
      <c r="C26" s="217" t="s">
        <v>447</v>
      </c>
    </row>
    <row r="27" spans="1:3" ht="15.75" customHeight="1" x14ac:dyDescent="0.3">
      <c r="A27" s="749"/>
      <c r="B27" s="752"/>
      <c r="C27" s="201" t="s">
        <v>8</v>
      </c>
    </row>
    <row r="28" spans="1:3" ht="45.6" x14ac:dyDescent="0.3">
      <c r="A28" s="749"/>
      <c r="B28" s="752"/>
      <c r="C28" s="202" t="s">
        <v>448</v>
      </c>
    </row>
    <row r="29" spans="1:3" ht="30.6" x14ac:dyDescent="0.3">
      <c r="A29" s="749"/>
      <c r="B29" s="752"/>
      <c r="C29" s="202" t="s">
        <v>9</v>
      </c>
    </row>
    <row r="30" spans="1:3" ht="15.75" customHeight="1" x14ac:dyDescent="0.3">
      <c r="A30" s="749"/>
      <c r="B30" s="752"/>
      <c r="C30" s="203" t="s">
        <v>10</v>
      </c>
    </row>
    <row r="31" spans="1:3" ht="15.75" customHeight="1" x14ac:dyDescent="0.3">
      <c r="A31" s="749"/>
      <c r="B31" s="752"/>
      <c r="C31" s="202" t="s">
        <v>11</v>
      </c>
    </row>
    <row r="32" spans="1:3" ht="15.75" customHeight="1" x14ac:dyDescent="0.3">
      <c r="A32" s="749"/>
      <c r="B32" s="752"/>
      <c r="C32" s="202" t="s">
        <v>12</v>
      </c>
    </row>
    <row r="33" spans="1:3" ht="30.6" x14ac:dyDescent="0.3">
      <c r="A33" s="750"/>
      <c r="B33" s="753"/>
      <c r="C33" s="204" t="s">
        <v>13</v>
      </c>
    </row>
    <row r="34" spans="1:3" ht="15.75" customHeight="1" x14ac:dyDescent="0.3">
      <c r="A34" s="205" t="s">
        <v>14</v>
      </c>
      <c r="B34" s="4">
        <v>13</v>
      </c>
      <c r="C34" s="747" t="s">
        <v>15</v>
      </c>
    </row>
    <row r="35" spans="1:3" ht="15.75" customHeight="1" x14ac:dyDescent="0.3">
      <c r="A35" s="205" t="s">
        <v>16</v>
      </c>
      <c r="B35" s="4">
        <v>14</v>
      </c>
      <c r="C35" s="747"/>
    </row>
    <row r="36" spans="1:3" ht="15.75" customHeight="1" x14ac:dyDescent="0.3">
      <c r="A36" s="205" t="s">
        <v>14</v>
      </c>
      <c r="B36" s="4">
        <v>48</v>
      </c>
      <c r="C36" s="747" t="s">
        <v>17</v>
      </c>
    </row>
    <row r="37" spans="1:3" ht="15.75" customHeight="1" x14ac:dyDescent="0.3">
      <c r="A37" s="205" t="s">
        <v>16</v>
      </c>
      <c r="B37" s="4">
        <v>45</v>
      </c>
      <c r="C37" s="747"/>
    </row>
    <row r="38" spans="1:3" ht="15.75" customHeight="1" x14ac:dyDescent="0.3">
      <c r="A38" s="205" t="s">
        <v>14</v>
      </c>
      <c r="B38" s="4">
        <v>26</v>
      </c>
      <c r="C38" s="747" t="s">
        <v>18</v>
      </c>
    </row>
    <row r="39" spans="1:3" ht="15.75" customHeight="1" x14ac:dyDescent="0.3">
      <c r="A39" s="205" t="s">
        <v>16</v>
      </c>
      <c r="B39" s="4">
        <v>28</v>
      </c>
      <c r="C39" s="747"/>
    </row>
    <row r="40" spans="1:3" ht="15.75" customHeight="1" x14ac:dyDescent="0.3">
      <c r="A40" s="205"/>
      <c r="B40" s="4"/>
      <c r="C40" s="198" t="s">
        <v>19</v>
      </c>
    </row>
    <row r="41" spans="1:3" ht="15.75" customHeight="1" x14ac:dyDescent="0.3">
      <c r="A41" s="205"/>
      <c r="B41" s="4"/>
      <c r="C41" s="198" t="s">
        <v>20</v>
      </c>
    </row>
    <row r="42" spans="1:3" ht="15.75" customHeight="1" x14ac:dyDescent="0.3">
      <c r="A42" s="205"/>
      <c r="B42" s="4"/>
      <c r="C42" s="198" t="s">
        <v>21</v>
      </c>
    </row>
    <row r="43" spans="1:3" ht="15.75" customHeight="1" x14ac:dyDescent="0.3">
      <c r="A43" s="205"/>
      <c r="B43" s="4"/>
      <c r="C43" s="198" t="s">
        <v>22</v>
      </c>
    </row>
    <row r="44" spans="1:3" ht="15.75" customHeight="1" x14ac:dyDescent="0.3">
      <c r="A44" s="205"/>
      <c r="B44" s="4"/>
      <c r="C44" s="206" t="s">
        <v>23</v>
      </c>
    </row>
    <row r="45" spans="1:3" ht="15.75" customHeight="1" x14ac:dyDescent="0.3">
      <c r="A45" s="205"/>
      <c r="B45" s="4"/>
      <c r="C45" s="207" t="s">
        <v>24</v>
      </c>
    </row>
    <row r="46" spans="1:3" ht="30" x14ac:dyDescent="0.3">
      <c r="A46" s="208" t="s">
        <v>25</v>
      </c>
      <c r="B46" s="5"/>
      <c r="C46" s="209" t="s">
        <v>26</v>
      </c>
    </row>
    <row r="47" spans="1:3" x14ac:dyDescent="0.3">
      <c r="A47" s="208" t="s">
        <v>27</v>
      </c>
      <c r="B47" s="4"/>
      <c r="C47" s="207" t="s">
        <v>28</v>
      </c>
    </row>
    <row r="48" spans="1:3" ht="60.6" x14ac:dyDescent="0.3">
      <c r="A48" s="208" t="s">
        <v>27</v>
      </c>
      <c r="B48" s="5">
        <v>18</v>
      </c>
      <c r="C48" s="204" t="s">
        <v>29</v>
      </c>
    </row>
    <row r="49" spans="1:3" ht="15.75" customHeight="1" x14ac:dyDescent="0.3">
      <c r="A49" s="208" t="s">
        <v>30</v>
      </c>
      <c r="B49" s="5"/>
      <c r="C49" s="210" t="s">
        <v>31</v>
      </c>
    </row>
    <row r="50" spans="1:3" ht="15.75" customHeight="1" x14ac:dyDescent="0.3">
      <c r="A50" s="208" t="s">
        <v>30</v>
      </c>
      <c r="B50" s="5"/>
      <c r="C50" s="210" t="s">
        <v>32</v>
      </c>
    </row>
    <row r="51" spans="1:3" ht="30.6" x14ac:dyDescent="0.3">
      <c r="A51" s="208" t="s">
        <v>30</v>
      </c>
      <c r="B51" s="5"/>
      <c r="C51" s="210" t="s">
        <v>33</v>
      </c>
    </row>
    <row r="52" spans="1:3" ht="15.75" customHeight="1" x14ac:dyDescent="0.3">
      <c r="A52" s="208" t="s">
        <v>30</v>
      </c>
      <c r="B52" s="5"/>
      <c r="C52" s="210" t="s">
        <v>34</v>
      </c>
    </row>
    <row r="53" spans="1:3" ht="30.6" x14ac:dyDescent="0.3">
      <c r="A53" s="208" t="s">
        <v>30</v>
      </c>
      <c r="B53" s="5">
        <v>4</v>
      </c>
      <c r="C53" s="210" t="s">
        <v>35</v>
      </c>
    </row>
    <row r="54" spans="1:3" ht="30.6" x14ac:dyDescent="0.3">
      <c r="A54" s="211" t="s">
        <v>30</v>
      </c>
      <c r="B54" s="212">
        <v>14</v>
      </c>
      <c r="C54" s="213" t="s">
        <v>36</v>
      </c>
    </row>
    <row r="55" spans="1:3" ht="30.6" x14ac:dyDescent="0.3">
      <c r="A55" s="211" t="s">
        <v>30</v>
      </c>
      <c r="B55" s="212" t="s">
        <v>405</v>
      </c>
      <c r="C55" s="213" t="s">
        <v>404</v>
      </c>
    </row>
  </sheetData>
  <sheetProtection selectLockedCells="1" selectUnlockedCells="1"/>
  <mergeCells count="6">
    <mergeCell ref="A1:C1"/>
    <mergeCell ref="C34:C35"/>
    <mergeCell ref="C36:C37"/>
    <mergeCell ref="C38:C39"/>
    <mergeCell ref="A3:A33"/>
    <mergeCell ref="B3:B33"/>
  </mergeCells>
  <phoneticPr fontId="32" type="noConversion"/>
  <pageMargins left="0.7" right="0.7" top="0.75" bottom="0.75" header="0.51180555555555551" footer="0.51180555555555551"/>
  <pageSetup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8"/>
  <sheetViews>
    <sheetView tabSelected="1" workbookViewId="0">
      <selection activeCell="A3" sqref="A3:N3"/>
    </sheetView>
  </sheetViews>
  <sheetFormatPr defaultColWidth="9.109375" defaultRowHeight="14.4" x14ac:dyDescent="0.3"/>
  <cols>
    <col min="1" max="8" width="9.109375" style="489"/>
    <col min="9" max="9" width="18.44140625" style="489" customWidth="1"/>
    <col min="10" max="10" width="31.109375" style="489" customWidth="1"/>
    <col min="11" max="12" width="9.109375" style="489"/>
    <col min="13" max="13" width="32.109375" style="489" customWidth="1"/>
    <col min="14" max="18" width="9.109375" style="489"/>
    <col min="19" max="19" width="11.33203125" style="489" customWidth="1"/>
    <col min="20" max="16384" width="9.109375" style="489"/>
  </cols>
  <sheetData>
    <row r="1" spans="1:14" ht="36.6" x14ac:dyDescent="0.7">
      <c r="A1" s="488" t="s">
        <v>661</v>
      </c>
    </row>
    <row r="3" spans="1:14" ht="163.5" customHeight="1" x14ac:dyDescent="0.3">
      <c r="A3" s="754" t="s">
        <v>750</v>
      </c>
      <c r="B3" s="754"/>
      <c r="C3" s="754"/>
      <c r="D3" s="754"/>
      <c r="E3" s="754"/>
      <c r="F3" s="754"/>
      <c r="G3" s="754"/>
      <c r="H3" s="754"/>
      <c r="I3" s="754"/>
      <c r="J3" s="754"/>
      <c r="K3" s="754"/>
      <c r="L3" s="754"/>
      <c r="M3" s="754"/>
      <c r="N3" s="754"/>
    </row>
    <row r="4" spans="1:14" ht="15" customHeight="1" x14ac:dyDescent="0.3"/>
    <row r="5" spans="1:14" ht="15" customHeight="1" x14ac:dyDescent="0.3"/>
    <row r="6" spans="1:14" ht="25.8" x14ac:dyDescent="0.5">
      <c r="A6" s="490" t="s">
        <v>662</v>
      </c>
    </row>
    <row r="7" spans="1:14" ht="25.8" x14ac:dyDescent="0.5">
      <c r="A7" s="732" t="s">
        <v>732</v>
      </c>
      <c r="B7" s="635"/>
      <c r="C7" s="635"/>
      <c r="D7" s="635"/>
      <c r="E7" s="635"/>
      <c r="F7" s="635"/>
    </row>
    <row r="8" spans="1:14" s="636" customFormat="1" ht="22.5" customHeight="1" x14ac:dyDescent="0.45">
      <c r="A8" s="637" t="s">
        <v>663</v>
      </c>
      <c r="B8" s="638" t="s">
        <v>664</v>
      </c>
      <c r="C8" s="639"/>
      <c r="D8" s="639"/>
      <c r="E8" s="640"/>
      <c r="F8" s="641"/>
    </row>
  </sheetData>
  <mergeCells count="1">
    <mergeCell ref="A3:N3"/>
  </mergeCells>
  <hyperlinks>
    <hyperlink ref="B8" r:id="rId1"/>
  </hyperlinks>
  <pageMargins left="0.25" right="0.25" top="0.75" bottom="0.75" header="0.3" footer="0.3"/>
  <pageSetup scale="74"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G247"/>
  <sheetViews>
    <sheetView showGridLines="0" showZeros="0" zoomScale="150" zoomScaleNormal="150" workbookViewId="0">
      <pane ySplit="1" topLeftCell="A2" activePane="bottomLeft" state="frozen"/>
      <selection pane="bottomLeft" activeCell="K5" sqref="K5:AM5"/>
    </sheetView>
  </sheetViews>
  <sheetFormatPr defaultColWidth="1.6640625" defaultRowHeight="8.4" x14ac:dyDescent="0.15"/>
  <cols>
    <col min="1" max="2" width="1.88671875" style="223" customWidth="1"/>
    <col min="3" max="3" width="2.44140625" style="223" customWidth="1"/>
    <col min="4" max="46" width="1.5546875" style="223" customWidth="1"/>
    <col min="47" max="47" width="10" style="223" customWidth="1"/>
    <col min="48" max="48" width="4.109375" style="223" bestFit="1" customWidth="1"/>
    <col min="49" max="49" width="4.109375" style="223" customWidth="1"/>
    <col min="50" max="50" width="3.44140625" style="223" customWidth="1"/>
    <col min="51" max="54" width="1.5546875" style="223" customWidth="1"/>
    <col min="55" max="55" width="1.44140625" style="223" customWidth="1"/>
    <col min="56" max="56" width="2.109375" style="223" customWidth="1"/>
    <col min="57" max="57" width="1.6640625" style="223"/>
    <col min="58" max="58" width="7.6640625" style="223" bestFit="1" customWidth="1"/>
    <col min="59" max="217" width="1.6640625" style="223"/>
    <col min="218" max="218" width="16" style="223" bestFit="1" customWidth="1"/>
    <col min="219" max="219" width="8.33203125" style="223" bestFit="1" customWidth="1"/>
    <col min="220" max="220" width="16.6640625" style="223" bestFit="1" customWidth="1"/>
    <col min="221" max="222" width="9.44140625" style="223" bestFit="1" customWidth="1"/>
    <col min="223" max="223" width="12.33203125" style="223" bestFit="1" customWidth="1"/>
    <col min="224" max="224" width="13.88671875" style="223" bestFit="1" customWidth="1"/>
    <col min="225" max="16384" width="1.6640625" style="223"/>
  </cols>
  <sheetData>
    <row r="1" spans="1:59" ht="15.6" x14ac:dyDescent="0.3">
      <c r="A1" s="221"/>
      <c r="B1" s="221"/>
      <c r="C1" s="222"/>
      <c r="D1" s="222"/>
      <c r="E1" s="222"/>
      <c r="F1" s="222"/>
      <c r="G1" s="222"/>
      <c r="H1" s="222"/>
      <c r="I1" s="222"/>
      <c r="J1" s="222"/>
      <c r="K1" s="222"/>
      <c r="L1" s="222"/>
      <c r="M1" s="222"/>
      <c r="N1" s="222"/>
      <c r="O1" s="222"/>
      <c r="Q1" s="757" t="s">
        <v>451</v>
      </c>
      <c r="R1" s="757"/>
      <c r="S1" s="757"/>
      <c r="T1" s="757"/>
      <c r="U1" s="757"/>
      <c r="V1" s="757"/>
      <c r="W1" s="757"/>
      <c r="X1" s="757"/>
      <c r="Y1" s="757"/>
      <c r="Z1" s="757"/>
      <c r="AA1" s="757"/>
      <c r="AB1" s="757"/>
      <c r="AC1" s="757"/>
      <c r="AD1" s="757"/>
      <c r="AE1" s="757"/>
      <c r="AF1" s="757"/>
      <c r="AG1" s="757"/>
      <c r="AH1" s="757"/>
      <c r="AI1" s="757"/>
      <c r="AJ1" s="757"/>
      <c r="AK1" s="757"/>
      <c r="AL1" s="757"/>
      <c r="AM1" s="757"/>
      <c r="AN1" s="757"/>
      <c r="AO1" s="222"/>
      <c r="AP1" s="222"/>
      <c r="AQ1" s="222"/>
      <c r="AR1" s="222"/>
      <c r="AS1" s="222"/>
      <c r="AT1" s="222"/>
      <c r="AU1" s="222"/>
      <c r="AV1" s="222"/>
      <c r="AW1" s="222"/>
      <c r="AX1" s="222"/>
      <c r="AY1" s="222"/>
      <c r="AZ1" s="222"/>
      <c r="BA1" s="222"/>
      <c r="BB1" s="222"/>
      <c r="BC1" s="222"/>
      <c r="BE1" s="224"/>
      <c r="BF1" s="224"/>
      <c r="BG1" s="224"/>
    </row>
    <row r="2" spans="1:59" x14ac:dyDescent="0.15">
      <c r="BE2" s="224"/>
      <c r="BF2" s="224"/>
      <c r="BG2" s="224"/>
    </row>
    <row r="3" spans="1:59" s="226" customFormat="1" ht="17.100000000000001" customHeight="1" x14ac:dyDescent="0.25">
      <c r="A3" s="225" t="s">
        <v>452</v>
      </c>
      <c r="C3" s="227"/>
      <c r="D3" s="227"/>
      <c r="E3" s="227"/>
      <c r="F3" s="227"/>
      <c r="G3" s="227"/>
      <c r="H3" s="227"/>
      <c r="I3" s="228"/>
      <c r="J3" s="228"/>
      <c r="K3" s="758" t="s">
        <v>732</v>
      </c>
      <c r="L3" s="758"/>
      <c r="M3" s="758"/>
      <c r="N3" s="758"/>
      <c r="O3" s="758"/>
      <c r="P3" s="758"/>
      <c r="Q3" s="758"/>
      <c r="R3" s="758"/>
      <c r="S3" s="758"/>
      <c r="T3" s="758"/>
      <c r="U3" s="758"/>
      <c r="V3" s="758"/>
      <c r="W3" s="758"/>
      <c r="X3" s="758"/>
      <c r="Y3" s="758"/>
      <c r="Z3" s="758"/>
      <c r="AA3" s="758"/>
      <c r="AB3" s="758"/>
      <c r="AC3" s="758"/>
      <c r="AD3" s="758"/>
      <c r="AE3" s="758"/>
      <c r="AF3" s="758"/>
      <c r="AG3" s="758"/>
      <c r="AH3" s="758"/>
      <c r="AI3" s="758"/>
      <c r="AJ3" s="758"/>
      <c r="AK3" s="758"/>
      <c r="AL3" s="758"/>
      <c r="AM3" s="758"/>
      <c r="AN3" s="229" t="s">
        <v>526</v>
      </c>
      <c r="AP3" s="229"/>
      <c r="AQ3" s="229"/>
      <c r="AR3" s="229"/>
      <c r="AS3" s="227"/>
      <c r="AT3" s="227"/>
      <c r="AU3" s="758"/>
      <c r="AV3" s="758"/>
      <c r="AW3" s="758"/>
      <c r="AX3" s="758"/>
      <c r="AY3" s="758"/>
      <c r="AZ3" s="758"/>
      <c r="BA3" s="758"/>
      <c r="BB3" s="758"/>
      <c r="BC3" s="758"/>
      <c r="BE3" s="224"/>
    </row>
    <row r="4" spans="1:59" s="226" customFormat="1" ht="17.100000000000001" customHeight="1" x14ac:dyDescent="0.25">
      <c r="A4" s="227" t="s">
        <v>453</v>
      </c>
      <c r="C4" s="227"/>
      <c r="D4" s="227"/>
      <c r="E4" s="227"/>
      <c r="F4" s="227"/>
      <c r="G4" s="227"/>
      <c r="H4" s="227"/>
      <c r="I4" s="228"/>
      <c r="J4" s="228"/>
      <c r="K4" s="758" t="s">
        <v>752</v>
      </c>
      <c r="L4" s="758"/>
      <c r="M4" s="758"/>
      <c r="N4" s="758"/>
      <c r="O4" s="758"/>
      <c r="P4" s="758"/>
      <c r="Q4" s="758"/>
      <c r="R4" s="758"/>
      <c r="S4" s="758"/>
      <c r="T4" s="758"/>
      <c r="U4" s="758"/>
      <c r="V4" s="758"/>
      <c r="W4" s="758"/>
      <c r="X4" s="758"/>
      <c r="Y4" s="758"/>
      <c r="Z4" s="758"/>
      <c r="AA4" s="758"/>
      <c r="AB4" s="758"/>
      <c r="AC4" s="758"/>
      <c r="AD4" s="758"/>
      <c r="AE4" s="758"/>
      <c r="AF4" s="758"/>
      <c r="AG4" s="758"/>
      <c r="AH4" s="758"/>
      <c r="AI4" s="758"/>
      <c r="AJ4" s="758"/>
      <c r="AK4" s="758"/>
      <c r="AL4" s="758"/>
      <c r="AM4" s="758"/>
      <c r="AN4" s="227" t="s">
        <v>527</v>
      </c>
      <c r="AP4" s="227"/>
      <c r="AQ4" s="228"/>
      <c r="AR4" s="229"/>
      <c r="AS4" s="227"/>
      <c r="AT4" s="227"/>
      <c r="AU4" s="367" t="s">
        <v>529</v>
      </c>
      <c r="AV4" s="312"/>
      <c r="AW4" s="312"/>
      <c r="AX4" s="312"/>
      <c r="AY4" s="312"/>
      <c r="AZ4" s="312"/>
      <c r="BA4" s="312"/>
      <c r="BB4" s="312"/>
      <c r="BC4" s="312"/>
      <c r="BE4" s="224"/>
    </row>
    <row r="5" spans="1:59" s="226" customFormat="1" ht="17.100000000000001" customHeight="1" x14ac:dyDescent="0.25">
      <c r="A5" s="227" t="s">
        <v>454</v>
      </c>
      <c r="C5" s="227"/>
      <c r="D5" s="227"/>
      <c r="E5" s="227"/>
      <c r="F5" s="227"/>
      <c r="G5" s="227"/>
      <c r="H5" s="227"/>
      <c r="I5" s="230"/>
      <c r="J5" s="230"/>
      <c r="K5" s="758" t="s">
        <v>529</v>
      </c>
      <c r="L5" s="758"/>
      <c r="M5" s="758"/>
      <c r="N5" s="758"/>
      <c r="O5" s="758"/>
      <c r="P5" s="758"/>
      <c r="Q5" s="758"/>
      <c r="R5" s="758"/>
      <c r="S5" s="758"/>
      <c r="T5" s="758"/>
      <c r="U5" s="758"/>
      <c r="V5" s="758"/>
      <c r="W5" s="758"/>
      <c r="X5" s="758"/>
      <c r="Y5" s="758"/>
      <c r="Z5" s="758"/>
      <c r="AA5" s="758"/>
      <c r="AB5" s="758"/>
      <c r="AC5" s="758"/>
      <c r="AD5" s="758"/>
      <c r="AE5" s="758"/>
      <c r="AF5" s="758"/>
      <c r="AG5" s="758"/>
      <c r="AH5" s="758"/>
      <c r="AI5" s="758"/>
      <c r="AJ5" s="758"/>
      <c r="AK5" s="758"/>
      <c r="AL5" s="758"/>
      <c r="AM5" s="758"/>
      <c r="AN5" s="224" t="s">
        <v>528</v>
      </c>
      <c r="AP5" s="227"/>
      <c r="AQ5" s="230"/>
      <c r="AR5" s="227"/>
      <c r="AS5" s="227"/>
      <c r="AT5" s="227"/>
      <c r="AU5" s="756" t="s">
        <v>529</v>
      </c>
      <c r="AV5" s="756"/>
      <c r="AW5" s="756"/>
      <c r="AX5" s="756"/>
      <c r="AY5" s="756"/>
      <c r="AZ5" s="756"/>
      <c r="BA5" s="756"/>
      <c r="BB5" s="756"/>
      <c r="BC5" s="756"/>
      <c r="BE5" s="224"/>
    </row>
    <row r="6" spans="1:59" s="226" customFormat="1" ht="17.100000000000001" customHeight="1" x14ac:dyDescent="0.25">
      <c r="A6" s="227" t="s">
        <v>455</v>
      </c>
      <c r="C6" s="227"/>
      <c r="D6" s="227"/>
      <c r="E6" s="227"/>
      <c r="F6" s="227"/>
      <c r="G6" s="227"/>
      <c r="H6" s="227"/>
      <c r="I6" s="230"/>
      <c r="J6" s="230"/>
      <c r="K6" s="755" t="s">
        <v>529</v>
      </c>
      <c r="L6" s="755"/>
      <c r="M6" s="755"/>
      <c r="N6" s="755"/>
      <c r="O6" s="755"/>
      <c r="P6" s="755"/>
      <c r="Q6" s="755"/>
      <c r="R6" s="755"/>
      <c r="S6" s="755"/>
      <c r="T6" s="755"/>
      <c r="U6" s="755"/>
      <c r="V6" s="755"/>
      <c r="W6" s="755"/>
      <c r="X6" s="755"/>
      <c r="Y6" s="755"/>
      <c r="Z6" s="755"/>
      <c r="AA6" s="755"/>
      <c r="AB6" s="755"/>
      <c r="AC6" s="755"/>
      <c r="AD6" s="755"/>
      <c r="AE6" s="755"/>
      <c r="AF6" s="755"/>
      <c r="AG6" s="755"/>
      <c r="AH6" s="755"/>
      <c r="AI6" s="755"/>
      <c r="AJ6" s="755"/>
      <c r="AK6" s="755"/>
      <c r="AL6" s="755"/>
      <c r="AM6" s="755"/>
      <c r="BE6" s="224"/>
    </row>
    <row r="7" spans="1:59" ht="13.8" x14ac:dyDescent="0.25">
      <c r="AN7" s="227" t="s">
        <v>603</v>
      </c>
      <c r="AO7" s="226"/>
      <c r="AP7" s="227"/>
      <c r="AQ7" s="229"/>
      <c r="AR7" s="229"/>
      <c r="AS7" s="229"/>
      <c r="AT7" s="229"/>
      <c r="AU7" s="756" t="s">
        <v>733</v>
      </c>
      <c r="AV7" s="756"/>
      <c r="AW7" s="756"/>
      <c r="AX7" s="756"/>
      <c r="AY7" s="756"/>
      <c r="AZ7" s="756"/>
      <c r="BA7" s="756"/>
      <c r="BB7" s="756"/>
      <c r="BC7" s="756"/>
      <c r="BE7" s="224"/>
      <c r="BF7" s="224"/>
      <c r="BG7" s="224"/>
    </row>
    <row r="8" spans="1:59" x14ac:dyDescent="0.15">
      <c r="BE8" s="224"/>
      <c r="BF8" s="224"/>
      <c r="BG8" s="224"/>
    </row>
    <row r="9" spans="1:59" x14ac:dyDescent="0.15">
      <c r="BE9" s="224"/>
      <c r="BF9" s="224"/>
      <c r="BG9" s="224"/>
    </row>
    <row r="10" spans="1:59" x14ac:dyDescent="0.15">
      <c r="BE10" s="224"/>
      <c r="BF10" s="224"/>
      <c r="BG10" s="224"/>
    </row>
    <row r="11" spans="1:59" x14ac:dyDescent="0.15">
      <c r="BE11" s="224"/>
      <c r="BF11" s="224"/>
      <c r="BG11" s="224"/>
    </row>
    <row r="12" spans="1:59" x14ac:dyDescent="0.15">
      <c r="BE12" s="224"/>
      <c r="BF12" s="224"/>
      <c r="BG12" s="224"/>
    </row>
    <row r="13" spans="1:59" x14ac:dyDescent="0.15">
      <c r="BE13" s="224"/>
      <c r="BF13" s="224"/>
      <c r="BG13" s="224"/>
    </row>
    <row r="14" spans="1:59" x14ac:dyDescent="0.15">
      <c r="BE14" s="224"/>
      <c r="BF14" s="224"/>
      <c r="BG14" s="224"/>
    </row>
    <row r="15" spans="1:59" x14ac:dyDescent="0.15">
      <c r="BE15" s="224"/>
      <c r="BF15" s="224"/>
      <c r="BG15" s="224"/>
    </row>
    <row r="16" spans="1:59" x14ac:dyDescent="0.15">
      <c r="BE16" s="224"/>
      <c r="BF16" s="224"/>
      <c r="BG16" s="224"/>
    </row>
    <row r="17" spans="57:59" x14ac:dyDescent="0.15">
      <c r="BE17" s="224"/>
      <c r="BF17" s="224"/>
      <c r="BG17" s="224"/>
    </row>
    <row r="18" spans="57:59" x14ac:dyDescent="0.15">
      <c r="BE18" s="224"/>
      <c r="BF18" s="224"/>
      <c r="BG18" s="224"/>
    </row>
    <row r="19" spans="57:59" x14ac:dyDescent="0.15">
      <c r="BE19" s="224"/>
      <c r="BF19" s="224"/>
      <c r="BG19" s="224"/>
    </row>
    <row r="20" spans="57:59" x14ac:dyDescent="0.15">
      <c r="BE20" s="224"/>
      <c r="BF20" s="224"/>
      <c r="BG20" s="224"/>
    </row>
    <row r="21" spans="57:59" x14ac:dyDescent="0.15">
      <c r="BE21" s="224"/>
      <c r="BF21" s="224"/>
      <c r="BG21" s="224"/>
    </row>
    <row r="22" spans="57:59" x14ac:dyDescent="0.15">
      <c r="BE22" s="224"/>
      <c r="BF22" s="224"/>
      <c r="BG22" s="224"/>
    </row>
    <row r="23" spans="57:59" x14ac:dyDescent="0.15">
      <c r="BE23" s="224"/>
      <c r="BF23" s="224"/>
      <c r="BG23" s="224"/>
    </row>
    <row r="24" spans="57:59" x14ac:dyDescent="0.15">
      <c r="BE24" s="224"/>
      <c r="BF24" s="224"/>
      <c r="BG24" s="224"/>
    </row>
    <row r="25" spans="57:59" x14ac:dyDescent="0.15">
      <c r="BE25" s="224"/>
      <c r="BF25" s="224"/>
      <c r="BG25" s="224"/>
    </row>
    <row r="26" spans="57:59" x14ac:dyDescent="0.15">
      <c r="BE26" s="224"/>
      <c r="BF26" s="224"/>
      <c r="BG26" s="224"/>
    </row>
    <row r="27" spans="57:59" x14ac:dyDescent="0.15">
      <c r="BE27" s="224"/>
      <c r="BF27" s="224"/>
      <c r="BG27" s="224"/>
    </row>
    <row r="28" spans="57:59" x14ac:dyDescent="0.15">
      <c r="BE28" s="224"/>
      <c r="BF28" s="224"/>
      <c r="BG28" s="224"/>
    </row>
    <row r="29" spans="57:59" x14ac:dyDescent="0.15">
      <c r="BE29" s="224"/>
      <c r="BF29" s="224"/>
      <c r="BG29" s="224"/>
    </row>
    <row r="30" spans="57:59" x14ac:dyDescent="0.15">
      <c r="BE30" s="224"/>
      <c r="BF30" s="224"/>
      <c r="BG30" s="224"/>
    </row>
    <row r="31" spans="57:59" x14ac:dyDescent="0.15">
      <c r="BE31" s="224"/>
      <c r="BF31" s="224"/>
      <c r="BG31" s="224"/>
    </row>
    <row r="32" spans="57:59" x14ac:dyDescent="0.15">
      <c r="BE32" s="224"/>
      <c r="BF32" s="224"/>
      <c r="BG32" s="224"/>
    </row>
    <row r="33" spans="57:59" x14ac:dyDescent="0.15">
      <c r="BE33" s="224"/>
      <c r="BF33" s="224"/>
      <c r="BG33" s="224"/>
    </row>
    <row r="34" spans="57:59" x14ac:dyDescent="0.15">
      <c r="BE34" s="224"/>
      <c r="BF34" s="224"/>
      <c r="BG34" s="224"/>
    </row>
    <row r="35" spans="57:59" x14ac:dyDescent="0.15">
      <c r="BE35" s="224"/>
      <c r="BF35" s="224"/>
      <c r="BG35" s="224"/>
    </row>
    <row r="36" spans="57:59" x14ac:dyDescent="0.15">
      <c r="BE36" s="224"/>
      <c r="BF36" s="224"/>
      <c r="BG36" s="224"/>
    </row>
    <row r="37" spans="57:59" x14ac:dyDescent="0.15">
      <c r="BE37" s="224"/>
      <c r="BF37" s="224"/>
      <c r="BG37" s="224"/>
    </row>
    <row r="38" spans="57:59" x14ac:dyDescent="0.15">
      <c r="BE38" s="224"/>
      <c r="BF38" s="224"/>
      <c r="BG38" s="224"/>
    </row>
    <row r="39" spans="57:59" x14ac:dyDescent="0.15">
      <c r="BE39" s="224"/>
      <c r="BF39" s="224"/>
      <c r="BG39" s="224"/>
    </row>
    <row r="40" spans="57:59" x14ac:dyDescent="0.15">
      <c r="BE40" s="224"/>
      <c r="BF40" s="224"/>
      <c r="BG40" s="224"/>
    </row>
    <row r="41" spans="57:59" x14ac:dyDescent="0.15">
      <c r="BE41" s="224"/>
      <c r="BF41" s="224"/>
      <c r="BG41" s="224"/>
    </row>
    <row r="42" spans="57:59" x14ac:dyDescent="0.15">
      <c r="BE42" s="224"/>
      <c r="BF42" s="224"/>
      <c r="BG42" s="224"/>
    </row>
    <row r="43" spans="57:59" x14ac:dyDescent="0.15">
      <c r="BE43" s="224"/>
      <c r="BF43" s="224"/>
      <c r="BG43" s="224"/>
    </row>
    <row r="44" spans="57:59" x14ac:dyDescent="0.15">
      <c r="BE44" s="224"/>
      <c r="BF44" s="224"/>
      <c r="BG44" s="224"/>
    </row>
    <row r="45" spans="57:59" x14ac:dyDescent="0.15">
      <c r="BE45" s="224"/>
      <c r="BF45" s="224"/>
      <c r="BG45" s="224"/>
    </row>
    <row r="46" spans="57:59" x14ac:dyDescent="0.15">
      <c r="BE46" s="224"/>
      <c r="BF46" s="224"/>
      <c r="BG46" s="224"/>
    </row>
    <row r="47" spans="57:59" x14ac:dyDescent="0.15">
      <c r="BE47" s="224"/>
      <c r="BF47" s="224"/>
      <c r="BG47" s="224"/>
    </row>
    <row r="48" spans="57:59" x14ac:dyDescent="0.15">
      <c r="BE48" s="224"/>
      <c r="BF48" s="224"/>
      <c r="BG48" s="224"/>
    </row>
    <row r="49" spans="57:59" x14ac:dyDescent="0.15">
      <c r="BE49" s="224"/>
      <c r="BF49" s="224"/>
      <c r="BG49" s="224"/>
    </row>
    <row r="50" spans="57:59" x14ac:dyDescent="0.15">
      <c r="BE50" s="224"/>
      <c r="BF50" s="224"/>
      <c r="BG50" s="224"/>
    </row>
    <row r="51" spans="57:59" x14ac:dyDescent="0.15">
      <c r="BE51" s="224"/>
      <c r="BF51" s="224"/>
      <c r="BG51" s="224"/>
    </row>
    <row r="52" spans="57:59" x14ac:dyDescent="0.15">
      <c r="BE52" s="224"/>
      <c r="BF52" s="224"/>
      <c r="BG52" s="224"/>
    </row>
    <row r="53" spans="57:59" x14ac:dyDescent="0.15">
      <c r="BE53" s="224"/>
      <c r="BF53" s="224"/>
      <c r="BG53" s="224"/>
    </row>
    <row r="54" spans="57:59" x14ac:dyDescent="0.15">
      <c r="BE54" s="224"/>
      <c r="BF54" s="224"/>
      <c r="BG54" s="224"/>
    </row>
    <row r="55" spans="57:59" x14ac:dyDescent="0.15">
      <c r="BE55" s="224"/>
      <c r="BF55" s="224"/>
      <c r="BG55" s="224"/>
    </row>
    <row r="56" spans="57:59" x14ac:dyDescent="0.15">
      <c r="BE56" s="224"/>
      <c r="BF56" s="224"/>
      <c r="BG56" s="224"/>
    </row>
    <row r="57" spans="57:59" x14ac:dyDescent="0.15">
      <c r="BE57" s="224"/>
      <c r="BF57" s="224"/>
      <c r="BG57" s="224"/>
    </row>
    <row r="58" spans="57:59" x14ac:dyDescent="0.15">
      <c r="BE58" s="224"/>
      <c r="BF58" s="224"/>
      <c r="BG58" s="224"/>
    </row>
    <row r="59" spans="57:59" x14ac:dyDescent="0.15">
      <c r="BE59" s="224"/>
      <c r="BF59" s="224"/>
      <c r="BG59" s="224"/>
    </row>
    <row r="60" spans="57:59" x14ac:dyDescent="0.15">
      <c r="BE60" s="224"/>
      <c r="BF60" s="224"/>
      <c r="BG60" s="224"/>
    </row>
    <row r="61" spans="57:59" x14ac:dyDescent="0.15">
      <c r="BE61" s="224"/>
      <c r="BF61" s="224"/>
      <c r="BG61" s="224"/>
    </row>
    <row r="62" spans="57:59" x14ac:dyDescent="0.15">
      <c r="BE62" s="224"/>
      <c r="BF62" s="224"/>
      <c r="BG62" s="224"/>
    </row>
    <row r="63" spans="57:59" x14ac:dyDescent="0.15">
      <c r="BE63" s="224"/>
      <c r="BF63" s="224"/>
      <c r="BG63" s="224"/>
    </row>
    <row r="64" spans="57:59" x14ac:dyDescent="0.15">
      <c r="BE64" s="224"/>
      <c r="BF64" s="224"/>
      <c r="BG64" s="224"/>
    </row>
    <row r="65" spans="57:59" x14ac:dyDescent="0.15">
      <c r="BE65" s="224"/>
      <c r="BF65" s="224"/>
      <c r="BG65" s="224"/>
    </row>
    <row r="66" spans="57:59" x14ac:dyDescent="0.15">
      <c r="BE66" s="224"/>
      <c r="BF66" s="224"/>
      <c r="BG66" s="224"/>
    </row>
    <row r="67" spans="57:59" x14ac:dyDescent="0.15">
      <c r="BE67" s="224"/>
      <c r="BF67" s="224"/>
      <c r="BG67" s="224"/>
    </row>
    <row r="68" spans="57:59" x14ac:dyDescent="0.15">
      <c r="BE68" s="224"/>
      <c r="BF68" s="224"/>
      <c r="BG68" s="224"/>
    </row>
    <row r="69" spans="57:59" x14ac:dyDescent="0.15">
      <c r="BE69" s="224"/>
      <c r="BF69" s="224"/>
      <c r="BG69" s="224"/>
    </row>
    <row r="70" spans="57:59" x14ac:dyDescent="0.15">
      <c r="BE70" s="224"/>
      <c r="BF70" s="224"/>
      <c r="BG70" s="224"/>
    </row>
    <row r="71" spans="57:59" x14ac:dyDescent="0.15">
      <c r="BE71" s="224"/>
      <c r="BF71" s="224"/>
      <c r="BG71" s="224"/>
    </row>
    <row r="72" spans="57:59" x14ac:dyDescent="0.15">
      <c r="BE72" s="224"/>
      <c r="BF72" s="224"/>
      <c r="BG72" s="224"/>
    </row>
    <row r="73" spans="57:59" x14ac:dyDescent="0.15">
      <c r="BE73" s="224"/>
      <c r="BF73" s="224"/>
      <c r="BG73" s="224"/>
    </row>
    <row r="74" spans="57:59" x14ac:dyDescent="0.15">
      <c r="BE74" s="224"/>
      <c r="BF74" s="224"/>
      <c r="BG74" s="224"/>
    </row>
    <row r="75" spans="57:59" x14ac:dyDescent="0.15">
      <c r="BE75" s="224"/>
      <c r="BF75" s="224"/>
      <c r="BG75" s="224"/>
    </row>
    <row r="76" spans="57:59" x14ac:dyDescent="0.15">
      <c r="BE76" s="224"/>
      <c r="BF76" s="224"/>
      <c r="BG76" s="224"/>
    </row>
    <row r="77" spans="57:59" x14ac:dyDescent="0.15">
      <c r="BE77" s="224"/>
      <c r="BF77" s="224"/>
      <c r="BG77" s="224"/>
    </row>
    <row r="78" spans="57:59" x14ac:dyDescent="0.15">
      <c r="BE78" s="224"/>
      <c r="BF78" s="224"/>
      <c r="BG78" s="224"/>
    </row>
    <row r="79" spans="57:59" x14ac:dyDescent="0.15">
      <c r="BE79" s="224"/>
      <c r="BF79" s="224"/>
      <c r="BG79" s="224"/>
    </row>
    <row r="80" spans="57:59" x14ac:dyDescent="0.15">
      <c r="BE80" s="224"/>
      <c r="BF80" s="224"/>
      <c r="BG80" s="224"/>
    </row>
    <row r="81" spans="57:59" x14ac:dyDescent="0.15">
      <c r="BE81" s="224"/>
      <c r="BF81" s="224"/>
      <c r="BG81" s="224"/>
    </row>
    <row r="82" spans="57:59" x14ac:dyDescent="0.15">
      <c r="BE82" s="224"/>
      <c r="BF82" s="224"/>
      <c r="BG82" s="224"/>
    </row>
    <row r="83" spans="57:59" x14ac:dyDescent="0.15">
      <c r="BE83" s="224"/>
      <c r="BF83" s="224"/>
      <c r="BG83" s="224"/>
    </row>
    <row r="84" spans="57:59" x14ac:dyDescent="0.15">
      <c r="BE84" s="224"/>
      <c r="BF84" s="224"/>
      <c r="BG84" s="224"/>
    </row>
    <row r="85" spans="57:59" x14ac:dyDescent="0.15">
      <c r="BE85" s="224"/>
      <c r="BF85" s="224"/>
      <c r="BG85" s="224"/>
    </row>
    <row r="86" spans="57:59" x14ac:dyDescent="0.15">
      <c r="BE86" s="224"/>
      <c r="BF86" s="224"/>
      <c r="BG86" s="224"/>
    </row>
    <row r="87" spans="57:59" x14ac:dyDescent="0.15">
      <c r="BE87" s="224"/>
      <c r="BF87" s="224"/>
      <c r="BG87" s="224"/>
    </row>
    <row r="88" spans="57:59" x14ac:dyDescent="0.15">
      <c r="BE88" s="224"/>
      <c r="BF88" s="224"/>
      <c r="BG88" s="224"/>
    </row>
    <row r="89" spans="57:59" x14ac:dyDescent="0.15">
      <c r="BE89" s="224"/>
      <c r="BF89" s="224"/>
      <c r="BG89" s="224"/>
    </row>
    <row r="90" spans="57:59" x14ac:dyDescent="0.15">
      <c r="BE90" s="224"/>
      <c r="BF90" s="224"/>
      <c r="BG90" s="224"/>
    </row>
    <row r="91" spans="57:59" x14ac:dyDescent="0.15">
      <c r="BE91" s="224"/>
      <c r="BF91" s="224"/>
      <c r="BG91" s="224"/>
    </row>
    <row r="92" spans="57:59" x14ac:dyDescent="0.15">
      <c r="BE92" s="224"/>
      <c r="BF92" s="224"/>
      <c r="BG92" s="224"/>
    </row>
    <row r="93" spans="57:59" x14ac:dyDescent="0.15">
      <c r="BE93" s="224"/>
      <c r="BF93" s="224"/>
      <c r="BG93" s="224"/>
    </row>
    <row r="94" spans="57:59" x14ac:dyDescent="0.15">
      <c r="BE94" s="224"/>
      <c r="BF94" s="224"/>
      <c r="BG94" s="224"/>
    </row>
    <row r="95" spans="57:59" x14ac:dyDescent="0.15">
      <c r="BE95" s="224"/>
      <c r="BF95" s="224"/>
      <c r="BG95" s="224"/>
    </row>
    <row r="96" spans="57:59" x14ac:dyDescent="0.15">
      <c r="BE96" s="224"/>
      <c r="BF96" s="224"/>
      <c r="BG96" s="224"/>
    </row>
    <row r="97" spans="57:59" x14ac:dyDescent="0.15">
      <c r="BE97" s="224"/>
      <c r="BF97" s="224"/>
      <c r="BG97" s="224"/>
    </row>
    <row r="98" spans="57:59" x14ac:dyDescent="0.15">
      <c r="BE98" s="224"/>
      <c r="BF98" s="224"/>
      <c r="BG98" s="224"/>
    </row>
    <row r="99" spans="57:59" x14ac:dyDescent="0.15">
      <c r="BE99" s="224"/>
      <c r="BF99" s="224"/>
      <c r="BG99" s="224"/>
    </row>
    <row r="100" spans="57:59" x14ac:dyDescent="0.15">
      <c r="BE100" s="224"/>
      <c r="BF100" s="224"/>
      <c r="BG100" s="224"/>
    </row>
    <row r="101" spans="57:59" x14ac:dyDescent="0.15">
      <c r="BE101" s="224"/>
      <c r="BF101" s="224"/>
      <c r="BG101" s="224"/>
    </row>
    <row r="102" spans="57:59" x14ac:dyDescent="0.15">
      <c r="BE102" s="224"/>
      <c r="BF102" s="224"/>
      <c r="BG102" s="224"/>
    </row>
    <row r="103" spans="57:59" x14ac:dyDescent="0.15">
      <c r="BE103" s="224"/>
      <c r="BF103" s="224"/>
      <c r="BG103" s="224"/>
    </row>
    <row r="104" spans="57:59" x14ac:dyDescent="0.15">
      <c r="BE104" s="224"/>
      <c r="BF104" s="224"/>
      <c r="BG104" s="224"/>
    </row>
    <row r="105" spans="57:59" x14ac:dyDescent="0.15">
      <c r="BE105" s="224"/>
      <c r="BF105" s="224"/>
      <c r="BG105" s="224"/>
    </row>
    <row r="106" spans="57:59" x14ac:dyDescent="0.15">
      <c r="BE106" s="224"/>
      <c r="BF106" s="224"/>
      <c r="BG106" s="224"/>
    </row>
    <row r="107" spans="57:59" x14ac:dyDescent="0.15">
      <c r="BE107" s="224"/>
      <c r="BF107" s="224"/>
      <c r="BG107" s="224"/>
    </row>
    <row r="108" spans="57:59" x14ac:dyDescent="0.15">
      <c r="BE108" s="224"/>
      <c r="BF108" s="224"/>
      <c r="BG108" s="224"/>
    </row>
    <row r="109" spans="57:59" x14ac:dyDescent="0.15">
      <c r="BE109" s="224"/>
      <c r="BF109" s="224"/>
      <c r="BG109" s="224"/>
    </row>
    <row r="110" spans="57:59" x14ac:dyDescent="0.15">
      <c r="BE110" s="224"/>
      <c r="BF110" s="224"/>
      <c r="BG110" s="224"/>
    </row>
    <row r="111" spans="57:59" x14ac:dyDescent="0.15">
      <c r="BE111" s="224"/>
      <c r="BF111" s="224"/>
      <c r="BG111" s="224"/>
    </row>
    <row r="112" spans="57:59" x14ac:dyDescent="0.15">
      <c r="BE112" s="224"/>
      <c r="BF112" s="224"/>
      <c r="BG112" s="224"/>
    </row>
    <row r="113" spans="57:59" x14ac:dyDescent="0.15">
      <c r="BE113" s="224"/>
      <c r="BF113" s="224"/>
      <c r="BG113" s="224"/>
    </row>
    <row r="114" spans="57:59" x14ac:dyDescent="0.15">
      <c r="BE114" s="224"/>
      <c r="BF114" s="224"/>
      <c r="BG114" s="224"/>
    </row>
    <row r="115" spans="57:59" x14ac:dyDescent="0.15">
      <c r="BE115" s="224"/>
      <c r="BF115" s="224"/>
      <c r="BG115" s="224"/>
    </row>
    <row r="116" spans="57:59" x14ac:dyDescent="0.15">
      <c r="BE116" s="224"/>
      <c r="BF116" s="224"/>
      <c r="BG116" s="224"/>
    </row>
    <row r="117" spans="57:59" x14ac:dyDescent="0.15">
      <c r="BE117" s="224"/>
      <c r="BF117" s="224"/>
      <c r="BG117" s="224"/>
    </row>
    <row r="118" spans="57:59" x14ac:dyDescent="0.15">
      <c r="BE118" s="224"/>
      <c r="BF118" s="224"/>
      <c r="BG118" s="224"/>
    </row>
    <row r="119" spans="57:59" x14ac:dyDescent="0.15">
      <c r="BE119" s="224"/>
      <c r="BF119" s="224"/>
      <c r="BG119" s="224"/>
    </row>
    <row r="120" spans="57:59" x14ac:dyDescent="0.15">
      <c r="BE120" s="224"/>
      <c r="BF120" s="224"/>
      <c r="BG120" s="224"/>
    </row>
    <row r="121" spans="57:59" x14ac:dyDescent="0.15">
      <c r="BE121" s="224"/>
      <c r="BF121" s="224"/>
      <c r="BG121" s="224"/>
    </row>
    <row r="122" spans="57:59" x14ac:dyDescent="0.15">
      <c r="BE122" s="224"/>
      <c r="BF122" s="224"/>
      <c r="BG122" s="224"/>
    </row>
    <row r="123" spans="57:59" x14ac:dyDescent="0.15">
      <c r="BE123" s="224"/>
      <c r="BF123" s="224"/>
      <c r="BG123" s="224"/>
    </row>
    <row r="124" spans="57:59" x14ac:dyDescent="0.15">
      <c r="BE124" s="224"/>
      <c r="BF124" s="224"/>
      <c r="BG124" s="224"/>
    </row>
    <row r="125" spans="57:59" x14ac:dyDescent="0.15">
      <c r="BE125" s="224"/>
      <c r="BF125" s="224"/>
      <c r="BG125" s="224"/>
    </row>
    <row r="126" spans="57:59" x14ac:dyDescent="0.15">
      <c r="BE126" s="224"/>
      <c r="BF126" s="224"/>
      <c r="BG126" s="224"/>
    </row>
    <row r="127" spans="57:59" x14ac:dyDescent="0.15">
      <c r="BE127" s="224"/>
      <c r="BF127" s="224"/>
      <c r="BG127" s="224"/>
    </row>
    <row r="128" spans="57:59" x14ac:dyDescent="0.15">
      <c r="BE128" s="224"/>
      <c r="BF128" s="224"/>
      <c r="BG128" s="224"/>
    </row>
    <row r="129" spans="57:59" x14ac:dyDescent="0.15">
      <c r="BE129" s="224"/>
      <c r="BF129" s="224"/>
      <c r="BG129" s="224"/>
    </row>
    <row r="130" spans="57:59" x14ac:dyDescent="0.15">
      <c r="BE130" s="224"/>
      <c r="BF130" s="224"/>
      <c r="BG130" s="224"/>
    </row>
    <row r="131" spans="57:59" x14ac:dyDescent="0.15">
      <c r="BE131" s="224"/>
      <c r="BF131" s="224"/>
      <c r="BG131" s="224"/>
    </row>
    <row r="132" spans="57:59" x14ac:dyDescent="0.15">
      <c r="BE132" s="224"/>
      <c r="BF132" s="224"/>
      <c r="BG132" s="224"/>
    </row>
    <row r="133" spans="57:59" x14ac:dyDescent="0.15">
      <c r="BE133" s="224"/>
      <c r="BF133" s="224"/>
      <c r="BG133" s="224"/>
    </row>
    <row r="134" spans="57:59" x14ac:dyDescent="0.15">
      <c r="BE134" s="224"/>
      <c r="BF134" s="224"/>
      <c r="BG134" s="224"/>
    </row>
    <row r="135" spans="57:59" x14ac:dyDescent="0.15">
      <c r="BE135" s="224"/>
      <c r="BF135" s="224"/>
      <c r="BG135" s="224"/>
    </row>
    <row r="136" spans="57:59" x14ac:dyDescent="0.15">
      <c r="BE136" s="224"/>
      <c r="BF136" s="224"/>
      <c r="BG136" s="224"/>
    </row>
    <row r="137" spans="57:59" x14ac:dyDescent="0.15">
      <c r="BE137" s="224"/>
      <c r="BF137" s="224"/>
      <c r="BG137" s="224"/>
    </row>
    <row r="138" spans="57:59" x14ac:dyDescent="0.15">
      <c r="BE138" s="224"/>
      <c r="BF138" s="224"/>
      <c r="BG138" s="224"/>
    </row>
    <row r="139" spans="57:59" x14ac:dyDescent="0.15">
      <c r="BE139" s="224"/>
      <c r="BF139" s="224"/>
      <c r="BG139" s="224"/>
    </row>
    <row r="140" spans="57:59" x14ac:dyDescent="0.15">
      <c r="BE140" s="224"/>
      <c r="BF140" s="224"/>
      <c r="BG140" s="224"/>
    </row>
    <row r="141" spans="57:59" x14ac:dyDescent="0.15">
      <c r="BE141" s="224"/>
      <c r="BF141" s="224"/>
      <c r="BG141" s="224"/>
    </row>
    <row r="142" spans="57:59" x14ac:dyDescent="0.15">
      <c r="BE142" s="224"/>
      <c r="BF142" s="224"/>
      <c r="BG142" s="224"/>
    </row>
    <row r="143" spans="57:59" x14ac:dyDescent="0.15">
      <c r="BE143" s="224"/>
      <c r="BF143" s="224"/>
      <c r="BG143" s="224"/>
    </row>
    <row r="144" spans="57:59" x14ac:dyDescent="0.15">
      <c r="BE144" s="224"/>
      <c r="BF144" s="224"/>
      <c r="BG144" s="224"/>
    </row>
    <row r="145" spans="57:59" x14ac:dyDescent="0.15">
      <c r="BE145" s="224"/>
      <c r="BF145" s="224"/>
      <c r="BG145" s="224"/>
    </row>
    <row r="146" spans="57:59" x14ac:dyDescent="0.15">
      <c r="BE146" s="224"/>
      <c r="BF146" s="224"/>
      <c r="BG146" s="224"/>
    </row>
    <row r="147" spans="57:59" x14ac:dyDescent="0.15">
      <c r="BE147" s="224"/>
      <c r="BF147" s="224"/>
      <c r="BG147" s="224"/>
    </row>
    <row r="148" spans="57:59" x14ac:dyDescent="0.15">
      <c r="BE148" s="224"/>
      <c r="BF148" s="224"/>
      <c r="BG148" s="224"/>
    </row>
    <row r="149" spans="57:59" x14ac:dyDescent="0.15">
      <c r="BE149" s="224"/>
      <c r="BF149" s="224"/>
      <c r="BG149" s="224"/>
    </row>
    <row r="150" spans="57:59" x14ac:dyDescent="0.15">
      <c r="BE150" s="224"/>
      <c r="BF150" s="224"/>
      <c r="BG150" s="224"/>
    </row>
    <row r="151" spans="57:59" x14ac:dyDescent="0.15">
      <c r="BE151" s="224"/>
      <c r="BF151" s="224"/>
      <c r="BG151" s="224"/>
    </row>
    <row r="152" spans="57:59" x14ac:dyDescent="0.15">
      <c r="BE152" s="224"/>
      <c r="BF152" s="224"/>
      <c r="BG152" s="224"/>
    </row>
    <row r="153" spans="57:59" x14ac:dyDescent="0.15">
      <c r="BE153" s="224"/>
      <c r="BF153" s="224"/>
      <c r="BG153" s="224"/>
    </row>
    <row r="154" spans="57:59" x14ac:dyDescent="0.15">
      <c r="BE154" s="224"/>
      <c r="BF154" s="224"/>
      <c r="BG154" s="224"/>
    </row>
    <row r="155" spans="57:59" x14ac:dyDescent="0.15">
      <c r="BE155" s="224"/>
      <c r="BF155" s="224"/>
      <c r="BG155" s="224"/>
    </row>
    <row r="156" spans="57:59" x14ac:dyDescent="0.15">
      <c r="BE156" s="224"/>
      <c r="BF156" s="224"/>
      <c r="BG156" s="224"/>
    </row>
    <row r="157" spans="57:59" x14ac:dyDescent="0.15">
      <c r="BE157" s="224"/>
      <c r="BF157" s="224"/>
      <c r="BG157" s="224"/>
    </row>
    <row r="158" spans="57:59" x14ac:dyDescent="0.15">
      <c r="BE158" s="224"/>
      <c r="BF158" s="224"/>
      <c r="BG158" s="224"/>
    </row>
    <row r="159" spans="57:59" x14ac:dyDescent="0.15">
      <c r="BE159" s="224"/>
      <c r="BF159" s="224"/>
      <c r="BG159" s="224"/>
    </row>
    <row r="160" spans="57:59" x14ac:dyDescent="0.15">
      <c r="BE160" s="224"/>
      <c r="BF160" s="224"/>
      <c r="BG160" s="224"/>
    </row>
    <row r="161" spans="57:59" x14ac:dyDescent="0.15">
      <c r="BE161" s="224"/>
      <c r="BF161" s="224"/>
      <c r="BG161" s="224"/>
    </row>
    <row r="162" spans="57:59" x14ac:dyDescent="0.15">
      <c r="BE162" s="224"/>
      <c r="BF162" s="224"/>
      <c r="BG162" s="224"/>
    </row>
    <row r="163" spans="57:59" x14ac:dyDescent="0.15">
      <c r="BE163" s="224"/>
      <c r="BF163" s="224"/>
      <c r="BG163" s="224"/>
    </row>
    <row r="164" spans="57:59" x14ac:dyDescent="0.15">
      <c r="BE164" s="224"/>
      <c r="BF164" s="224"/>
      <c r="BG164" s="224"/>
    </row>
    <row r="165" spans="57:59" x14ac:dyDescent="0.15">
      <c r="BE165" s="224"/>
      <c r="BF165" s="224"/>
      <c r="BG165" s="224"/>
    </row>
    <row r="166" spans="57:59" x14ac:dyDescent="0.15">
      <c r="BE166" s="224"/>
      <c r="BF166" s="224"/>
      <c r="BG166" s="224"/>
    </row>
    <row r="167" spans="57:59" x14ac:dyDescent="0.15">
      <c r="BE167" s="224"/>
      <c r="BF167" s="224"/>
      <c r="BG167" s="224"/>
    </row>
    <row r="168" spans="57:59" x14ac:dyDescent="0.15">
      <c r="BE168" s="224"/>
      <c r="BF168" s="224"/>
      <c r="BG168" s="224"/>
    </row>
    <row r="169" spans="57:59" x14ac:dyDescent="0.15">
      <c r="BE169" s="224"/>
      <c r="BF169" s="224"/>
      <c r="BG169" s="224"/>
    </row>
    <row r="170" spans="57:59" x14ac:dyDescent="0.15">
      <c r="BE170" s="224"/>
      <c r="BF170" s="224"/>
      <c r="BG170" s="224"/>
    </row>
    <row r="171" spans="57:59" x14ac:dyDescent="0.15">
      <c r="BE171" s="224"/>
      <c r="BF171" s="224"/>
      <c r="BG171" s="224"/>
    </row>
    <row r="172" spans="57:59" x14ac:dyDescent="0.15">
      <c r="BE172" s="224"/>
      <c r="BF172" s="224"/>
      <c r="BG172" s="224"/>
    </row>
    <row r="173" spans="57:59" x14ac:dyDescent="0.15">
      <c r="BE173" s="224"/>
      <c r="BF173" s="224"/>
      <c r="BG173" s="224"/>
    </row>
    <row r="174" spans="57:59" x14ac:dyDescent="0.15">
      <c r="BE174" s="224"/>
      <c r="BF174" s="224"/>
      <c r="BG174" s="224"/>
    </row>
    <row r="175" spans="57:59" x14ac:dyDescent="0.15">
      <c r="BE175" s="224"/>
      <c r="BF175" s="224"/>
      <c r="BG175" s="224"/>
    </row>
    <row r="176" spans="57:59" x14ac:dyDescent="0.15">
      <c r="BE176" s="224"/>
      <c r="BF176" s="224"/>
      <c r="BG176" s="224"/>
    </row>
    <row r="177" spans="57:59" x14ac:dyDescent="0.15">
      <c r="BE177" s="224"/>
      <c r="BF177" s="224"/>
      <c r="BG177" s="224"/>
    </row>
    <row r="178" spans="57:59" x14ac:dyDescent="0.15">
      <c r="BE178" s="224"/>
      <c r="BF178" s="224"/>
      <c r="BG178" s="224"/>
    </row>
    <row r="179" spans="57:59" x14ac:dyDescent="0.15">
      <c r="BE179" s="224"/>
      <c r="BF179" s="224"/>
      <c r="BG179" s="224"/>
    </row>
    <row r="180" spans="57:59" x14ac:dyDescent="0.15">
      <c r="BE180" s="224"/>
      <c r="BF180" s="224"/>
      <c r="BG180" s="224"/>
    </row>
    <row r="181" spans="57:59" x14ac:dyDescent="0.15">
      <c r="BE181" s="224"/>
      <c r="BF181" s="224"/>
      <c r="BG181" s="224"/>
    </row>
    <row r="182" spans="57:59" x14ac:dyDescent="0.15">
      <c r="BE182" s="224"/>
      <c r="BF182" s="224"/>
      <c r="BG182" s="224"/>
    </row>
    <row r="183" spans="57:59" x14ac:dyDescent="0.15">
      <c r="BE183" s="224"/>
      <c r="BF183" s="224"/>
      <c r="BG183" s="224"/>
    </row>
    <row r="184" spans="57:59" x14ac:dyDescent="0.15">
      <c r="BE184" s="224"/>
      <c r="BF184" s="224"/>
      <c r="BG184" s="224"/>
    </row>
    <row r="185" spans="57:59" x14ac:dyDescent="0.15">
      <c r="BE185" s="224"/>
      <c r="BF185" s="224"/>
      <c r="BG185" s="224"/>
    </row>
    <row r="186" spans="57:59" x14ac:dyDescent="0.15">
      <c r="BE186" s="224"/>
      <c r="BF186" s="224"/>
      <c r="BG186" s="224"/>
    </row>
    <row r="187" spans="57:59" x14ac:dyDescent="0.15">
      <c r="BE187" s="224"/>
      <c r="BF187" s="224"/>
      <c r="BG187" s="224"/>
    </row>
    <row r="188" spans="57:59" x14ac:dyDescent="0.15">
      <c r="BE188" s="224"/>
      <c r="BF188" s="224"/>
      <c r="BG188" s="224"/>
    </row>
    <row r="189" spans="57:59" x14ac:dyDescent="0.15">
      <c r="BE189" s="224"/>
      <c r="BF189" s="224"/>
      <c r="BG189" s="224"/>
    </row>
    <row r="190" spans="57:59" x14ac:dyDescent="0.15">
      <c r="BE190" s="224"/>
      <c r="BF190" s="224"/>
      <c r="BG190" s="224"/>
    </row>
    <row r="191" spans="57:59" x14ac:dyDescent="0.15">
      <c r="BE191" s="224"/>
      <c r="BF191" s="224"/>
      <c r="BG191" s="224"/>
    </row>
    <row r="192" spans="57:59" x14ac:dyDescent="0.15">
      <c r="BE192" s="224"/>
      <c r="BF192" s="224"/>
      <c r="BG192" s="224"/>
    </row>
    <row r="193" spans="57:59" x14ac:dyDescent="0.15">
      <c r="BE193" s="224"/>
      <c r="BF193" s="224"/>
      <c r="BG193" s="224"/>
    </row>
    <row r="194" spans="57:59" x14ac:dyDescent="0.15">
      <c r="BE194" s="224"/>
      <c r="BF194" s="224"/>
      <c r="BG194" s="224"/>
    </row>
    <row r="195" spans="57:59" x14ac:dyDescent="0.15">
      <c r="BE195" s="224"/>
      <c r="BF195" s="224"/>
      <c r="BG195" s="224"/>
    </row>
    <row r="196" spans="57:59" x14ac:dyDescent="0.15">
      <c r="BE196" s="224"/>
      <c r="BF196" s="224"/>
      <c r="BG196" s="224"/>
    </row>
    <row r="197" spans="57:59" x14ac:dyDescent="0.15">
      <c r="BE197" s="224"/>
      <c r="BF197" s="224"/>
      <c r="BG197" s="224"/>
    </row>
    <row r="198" spans="57:59" x14ac:dyDescent="0.15">
      <c r="BE198" s="224"/>
      <c r="BF198" s="224"/>
      <c r="BG198" s="224"/>
    </row>
    <row r="199" spans="57:59" x14ac:dyDescent="0.15">
      <c r="BE199" s="224"/>
      <c r="BF199" s="224"/>
      <c r="BG199" s="224"/>
    </row>
    <row r="200" spans="57:59" x14ac:dyDescent="0.15">
      <c r="BE200" s="224"/>
      <c r="BF200" s="224"/>
      <c r="BG200" s="224"/>
    </row>
    <row r="201" spans="57:59" x14ac:dyDescent="0.15">
      <c r="BE201" s="224"/>
      <c r="BF201" s="224"/>
      <c r="BG201" s="224"/>
    </row>
    <row r="202" spans="57:59" x14ac:dyDescent="0.15">
      <c r="BE202" s="224"/>
      <c r="BF202" s="224"/>
      <c r="BG202" s="224"/>
    </row>
    <row r="203" spans="57:59" x14ac:dyDescent="0.15">
      <c r="BE203" s="224"/>
      <c r="BF203" s="224"/>
      <c r="BG203" s="224"/>
    </row>
    <row r="204" spans="57:59" x14ac:dyDescent="0.15">
      <c r="BE204" s="224"/>
      <c r="BF204" s="224"/>
      <c r="BG204" s="224"/>
    </row>
    <row r="205" spans="57:59" x14ac:dyDescent="0.15">
      <c r="BE205" s="224"/>
      <c r="BF205" s="224"/>
      <c r="BG205" s="224"/>
    </row>
    <row r="206" spans="57:59" x14ac:dyDescent="0.15">
      <c r="BE206" s="224"/>
      <c r="BF206" s="224"/>
      <c r="BG206" s="224"/>
    </row>
    <row r="207" spans="57:59" x14ac:dyDescent="0.15">
      <c r="BE207" s="224"/>
      <c r="BF207" s="224"/>
      <c r="BG207" s="224"/>
    </row>
    <row r="208" spans="57:59" x14ac:dyDescent="0.15">
      <c r="BE208" s="224"/>
      <c r="BF208" s="224"/>
      <c r="BG208" s="224"/>
    </row>
    <row r="209" spans="57:59" x14ac:dyDescent="0.15">
      <c r="BE209" s="224"/>
      <c r="BF209" s="224"/>
      <c r="BG209" s="224"/>
    </row>
    <row r="210" spans="57:59" x14ac:dyDescent="0.15">
      <c r="BE210" s="224"/>
      <c r="BF210" s="224"/>
      <c r="BG210" s="224"/>
    </row>
    <row r="211" spans="57:59" x14ac:dyDescent="0.15">
      <c r="BE211" s="224"/>
      <c r="BF211" s="224"/>
      <c r="BG211" s="224"/>
    </row>
    <row r="212" spans="57:59" x14ac:dyDescent="0.15">
      <c r="BE212" s="224"/>
      <c r="BF212" s="224"/>
      <c r="BG212" s="224"/>
    </row>
    <row r="213" spans="57:59" x14ac:dyDescent="0.15">
      <c r="BE213" s="224"/>
      <c r="BF213" s="224"/>
      <c r="BG213" s="224"/>
    </row>
    <row r="214" spans="57:59" x14ac:dyDescent="0.15">
      <c r="BE214" s="224"/>
      <c r="BF214" s="224"/>
      <c r="BG214" s="224"/>
    </row>
    <row r="215" spans="57:59" x14ac:dyDescent="0.15">
      <c r="BE215" s="224"/>
      <c r="BF215" s="224"/>
      <c r="BG215" s="224"/>
    </row>
    <row r="216" spans="57:59" x14ac:dyDescent="0.15">
      <c r="BE216" s="224"/>
      <c r="BF216" s="224"/>
      <c r="BG216" s="224"/>
    </row>
    <row r="217" spans="57:59" x14ac:dyDescent="0.15">
      <c r="BE217" s="224"/>
      <c r="BF217" s="224"/>
      <c r="BG217" s="224"/>
    </row>
    <row r="218" spans="57:59" x14ac:dyDescent="0.15">
      <c r="BE218" s="224"/>
      <c r="BF218" s="224"/>
      <c r="BG218" s="224"/>
    </row>
    <row r="219" spans="57:59" x14ac:dyDescent="0.15">
      <c r="BE219" s="224"/>
      <c r="BF219" s="224"/>
      <c r="BG219" s="224"/>
    </row>
    <row r="220" spans="57:59" x14ac:dyDescent="0.15">
      <c r="BE220" s="224"/>
      <c r="BF220" s="224"/>
      <c r="BG220" s="224"/>
    </row>
    <row r="221" spans="57:59" x14ac:dyDescent="0.15">
      <c r="BE221" s="224"/>
      <c r="BF221" s="224"/>
      <c r="BG221" s="224"/>
    </row>
    <row r="222" spans="57:59" x14ac:dyDescent="0.15">
      <c r="BE222" s="224"/>
      <c r="BF222" s="224"/>
      <c r="BG222" s="224"/>
    </row>
    <row r="223" spans="57:59" x14ac:dyDescent="0.15">
      <c r="BE223" s="224"/>
      <c r="BF223" s="224"/>
      <c r="BG223" s="224"/>
    </row>
    <row r="224" spans="57:59" x14ac:dyDescent="0.15">
      <c r="BE224" s="224"/>
      <c r="BF224" s="224"/>
      <c r="BG224" s="224"/>
    </row>
    <row r="225" spans="57:59" x14ac:dyDescent="0.15">
      <c r="BE225" s="224"/>
      <c r="BF225" s="224"/>
      <c r="BG225" s="224"/>
    </row>
    <row r="226" spans="57:59" x14ac:dyDescent="0.15">
      <c r="BE226" s="224"/>
      <c r="BF226" s="224"/>
      <c r="BG226" s="224"/>
    </row>
    <row r="227" spans="57:59" x14ac:dyDescent="0.15">
      <c r="BE227" s="224"/>
      <c r="BF227" s="224"/>
      <c r="BG227" s="224"/>
    </row>
    <row r="228" spans="57:59" x14ac:dyDescent="0.15">
      <c r="BE228" s="224"/>
      <c r="BF228" s="224"/>
      <c r="BG228" s="224"/>
    </row>
    <row r="229" spans="57:59" x14ac:dyDescent="0.15">
      <c r="BE229" s="224"/>
      <c r="BF229" s="224"/>
      <c r="BG229" s="224"/>
    </row>
    <row r="230" spans="57:59" x14ac:dyDescent="0.15">
      <c r="BE230" s="224"/>
      <c r="BF230" s="224"/>
      <c r="BG230" s="224"/>
    </row>
    <row r="231" spans="57:59" x14ac:dyDescent="0.15">
      <c r="BE231" s="224"/>
      <c r="BF231" s="224"/>
      <c r="BG231" s="224"/>
    </row>
    <row r="232" spans="57:59" x14ac:dyDescent="0.15">
      <c r="BE232" s="224"/>
      <c r="BF232" s="224"/>
      <c r="BG232" s="224"/>
    </row>
    <row r="233" spans="57:59" x14ac:dyDescent="0.15">
      <c r="BE233" s="224"/>
      <c r="BF233" s="224"/>
      <c r="BG233" s="224"/>
    </row>
    <row r="234" spans="57:59" x14ac:dyDescent="0.15">
      <c r="BE234" s="224"/>
      <c r="BF234" s="224"/>
      <c r="BG234" s="224"/>
    </row>
    <row r="235" spans="57:59" x14ac:dyDescent="0.15">
      <c r="BE235" s="224"/>
      <c r="BF235" s="224"/>
      <c r="BG235" s="224"/>
    </row>
    <row r="236" spans="57:59" x14ac:dyDescent="0.15">
      <c r="BE236" s="224"/>
      <c r="BF236" s="224"/>
      <c r="BG236" s="224"/>
    </row>
    <row r="237" spans="57:59" x14ac:dyDescent="0.15">
      <c r="BE237" s="224"/>
      <c r="BF237" s="224"/>
      <c r="BG237" s="224"/>
    </row>
    <row r="238" spans="57:59" x14ac:dyDescent="0.15">
      <c r="BE238" s="224"/>
      <c r="BF238" s="224"/>
      <c r="BG238" s="224"/>
    </row>
    <row r="239" spans="57:59" x14ac:dyDescent="0.15">
      <c r="BE239" s="224"/>
      <c r="BF239" s="224"/>
      <c r="BG239" s="224"/>
    </row>
    <row r="240" spans="57:59" x14ac:dyDescent="0.15">
      <c r="BE240" s="224"/>
      <c r="BF240" s="224"/>
      <c r="BG240" s="224"/>
    </row>
    <row r="241" spans="57:59" x14ac:dyDescent="0.15">
      <c r="BE241" s="224"/>
      <c r="BF241" s="224"/>
      <c r="BG241" s="224"/>
    </row>
    <row r="242" spans="57:59" x14ac:dyDescent="0.15">
      <c r="BE242" s="224"/>
      <c r="BF242" s="224"/>
      <c r="BG242" s="224"/>
    </row>
    <row r="243" spans="57:59" x14ac:dyDescent="0.15">
      <c r="BE243" s="224"/>
      <c r="BF243" s="224"/>
      <c r="BG243" s="224"/>
    </row>
    <row r="244" spans="57:59" x14ac:dyDescent="0.15">
      <c r="BE244" s="224"/>
      <c r="BF244" s="224"/>
      <c r="BG244" s="224"/>
    </row>
    <row r="245" spans="57:59" x14ac:dyDescent="0.15">
      <c r="BE245" s="224"/>
      <c r="BF245" s="224"/>
      <c r="BG245" s="224"/>
    </row>
    <row r="246" spans="57:59" x14ac:dyDescent="0.15">
      <c r="BE246" s="224"/>
      <c r="BF246" s="224"/>
      <c r="BG246" s="224"/>
    </row>
    <row r="247" spans="57:59" x14ac:dyDescent="0.15">
      <c r="BE247" s="224"/>
      <c r="BF247" s="224"/>
      <c r="BG247" s="224"/>
    </row>
  </sheetData>
  <mergeCells count="8">
    <mergeCell ref="K6:AM6"/>
    <mergeCell ref="AU7:BC7"/>
    <mergeCell ref="Q1:AN1"/>
    <mergeCell ref="K3:AM3"/>
    <mergeCell ref="AU3:BC3"/>
    <mergeCell ref="K4:AM4"/>
    <mergeCell ref="K5:AM5"/>
    <mergeCell ref="AU5:BC5"/>
  </mergeCells>
  <printOptions horizontalCentered="1"/>
  <pageMargins left="0.7" right="0.4" top="0.5" bottom="1.5" header="0.3" footer="0.3"/>
  <pageSetup paperSize="5" scale="9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74"/>
  <sheetViews>
    <sheetView workbookViewId="0">
      <selection activeCell="E4" sqref="E4"/>
    </sheetView>
  </sheetViews>
  <sheetFormatPr defaultColWidth="9.109375" defaultRowHeight="15.6" x14ac:dyDescent="0.3"/>
  <cols>
    <col min="1" max="1" width="9.5546875" style="231" customWidth="1"/>
    <col min="2" max="2" width="5.44140625" style="232" bestFit="1" customWidth="1"/>
    <col min="3" max="3" width="64.6640625" style="231" bestFit="1" customWidth="1"/>
    <col min="4" max="5" width="14" style="232" bestFit="1" customWidth="1"/>
    <col min="6" max="6" width="12.6640625" style="232" customWidth="1"/>
    <col min="7" max="7" width="14.5546875" style="231" bestFit="1" customWidth="1"/>
    <col min="8" max="8" width="25.5546875" style="277" bestFit="1" customWidth="1"/>
    <col min="9" max="9" width="15.6640625" style="277" customWidth="1"/>
    <col min="10" max="10" width="18.5546875" style="231" bestFit="1" customWidth="1"/>
    <col min="11" max="11" width="9.109375" style="231"/>
    <col min="12" max="12" width="9.88671875" style="231" bestFit="1" customWidth="1"/>
    <col min="13" max="16384" width="9.109375" style="231"/>
  </cols>
  <sheetData>
    <row r="1" spans="2:10" ht="18" x14ac:dyDescent="0.35">
      <c r="C1" s="233"/>
      <c r="H1" s="700"/>
      <c r="I1" s="701"/>
    </row>
    <row r="2" spans="2:10" ht="18" x14ac:dyDescent="0.35">
      <c r="B2" s="235">
        <v>1</v>
      </c>
      <c r="C2" s="236" t="s">
        <v>712</v>
      </c>
      <c r="D2" s="238">
        <f>D3-D4</f>
        <v>0</v>
      </c>
      <c r="E2" s="238">
        <f>E3-E4</f>
        <v>0</v>
      </c>
      <c r="F2" s="238">
        <f>F3-F4</f>
        <v>0</v>
      </c>
      <c r="G2" s="360"/>
      <c r="H2" s="280"/>
    </row>
    <row r="3" spans="2:10" x14ac:dyDescent="0.3">
      <c r="B3" s="235">
        <v>2</v>
      </c>
      <c r="C3" s="672" t="s">
        <v>711</v>
      </c>
      <c r="D3" s="237">
        <v>0</v>
      </c>
      <c r="E3" s="237">
        <v>0</v>
      </c>
      <c r="F3" s="237">
        <f>D3-E3</f>
        <v>0</v>
      </c>
      <c r="G3" s="313"/>
      <c r="H3" s="764" t="s">
        <v>500</v>
      </c>
      <c r="I3" s="764"/>
    </row>
    <row r="4" spans="2:10" x14ac:dyDescent="0.3">
      <c r="B4" s="235">
        <v>3</v>
      </c>
      <c r="C4" s="266" t="s">
        <v>110</v>
      </c>
      <c r="D4" s="237">
        <v>0</v>
      </c>
      <c r="E4" s="237">
        <v>0</v>
      </c>
      <c r="F4" s="237">
        <f>D4-E4</f>
        <v>0</v>
      </c>
      <c r="H4" s="266" t="s">
        <v>502</v>
      </c>
      <c r="I4" s="237"/>
      <c r="J4" s="278"/>
    </row>
    <row r="5" spans="2:10" ht="18" x14ac:dyDescent="0.35">
      <c r="B5" s="235">
        <v>4</v>
      </c>
      <c r="C5" s="236" t="s">
        <v>458</v>
      </c>
      <c r="D5" s="238">
        <f>D6+D7+D8-D9</f>
        <v>0</v>
      </c>
      <c r="E5" s="238">
        <f>E6+E7+E8-E9</f>
        <v>0</v>
      </c>
      <c r="F5" s="238">
        <f>F6+F7+F8-F9</f>
        <v>0</v>
      </c>
      <c r="H5" s="266" t="s">
        <v>501</v>
      </c>
      <c r="I5" s="291"/>
      <c r="J5" s="278"/>
    </row>
    <row r="6" spans="2:10" ht="18" x14ac:dyDescent="0.35">
      <c r="B6" s="235">
        <v>5</v>
      </c>
      <c r="C6" s="239" t="s">
        <v>113</v>
      </c>
      <c r="D6" s="237">
        <v>0</v>
      </c>
      <c r="E6" s="237">
        <v>0</v>
      </c>
      <c r="F6" s="237">
        <f t="shared" ref="F6:F9" si="0">D6-E6</f>
        <v>0</v>
      </c>
      <c r="H6" s="266" t="s">
        <v>503</v>
      </c>
      <c r="I6" s="237"/>
      <c r="J6" s="278"/>
    </row>
    <row r="7" spans="2:10" ht="18" x14ac:dyDescent="0.35">
      <c r="B7" s="235">
        <v>6</v>
      </c>
      <c r="C7" s="239" t="s">
        <v>456</v>
      </c>
      <c r="D7" s="291">
        <v>0</v>
      </c>
      <c r="E7" s="291">
        <v>0</v>
      </c>
      <c r="F7" s="237">
        <f t="shared" si="0"/>
        <v>0</v>
      </c>
      <c r="G7" s="313"/>
      <c r="H7" s="266"/>
      <c r="I7" s="237">
        <f>SUM(I4:I6)</f>
        <v>0</v>
      </c>
      <c r="J7" s="278"/>
    </row>
    <row r="8" spans="2:10" ht="18" x14ac:dyDescent="0.35">
      <c r="B8" s="235">
        <v>7</v>
      </c>
      <c r="C8" s="239" t="s">
        <v>459</v>
      </c>
      <c r="D8" s="237">
        <v>0</v>
      </c>
      <c r="E8" s="237">
        <v>0</v>
      </c>
      <c r="F8" s="237">
        <f t="shared" si="0"/>
        <v>0</v>
      </c>
      <c r="G8" s="313"/>
      <c r="J8" s="278"/>
    </row>
    <row r="9" spans="2:10" ht="18" x14ac:dyDescent="0.35">
      <c r="B9" s="235">
        <v>8</v>
      </c>
      <c r="C9" s="239" t="s">
        <v>124</v>
      </c>
      <c r="D9" s="237">
        <v>0</v>
      </c>
      <c r="E9" s="237">
        <v>0</v>
      </c>
      <c r="F9" s="237">
        <f t="shared" si="0"/>
        <v>0</v>
      </c>
      <c r="H9" s="764" t="s">
        <v>525</v>
      </c>
      <c r="I9" s="764"/>
      <c r="J9" s="278"/>
    </row>
    <row r="10" spans="2:10" ht="18" x14ac:dyDescent="0.35">
      <c r="B10" s="235">
        <v>9</v>
      </c>
      <c r="C10" s="236" t="s">
        <v>460</v>
      </c>
      <c r="D10" s="238">
        <f>D2-D5</f>
        <v>0</v>
      </c>
      <c r="E10" s="238">
        <f>E2-E5</f>
        <v>0</v>
      </c>
      <c r="F10" s="238">
        <f>F2-F5</f>
        <v>0</v>
      </c>
      <c r="G10" s="240"/>
      <c r="H10" s="266" t="s">
        <v>592</v>
      </c>
      <c r="I10" s="237"/>
      <c r="J10" s="278"/>
    </row>
    <row r="11" spans="2:10" ht="18" x14ac:dyDescent="0.35">
      <c r="B11" s="235">
        <v>10</v>
      </c>
      <c r="C11" s="236" t="s">
        <v>480</v>
      </c>
      <c r="D11" s="238">
        <f>+D12+D13+D14</f>
        <v>0</v>
      </c>
      <c r="E11" s="238">
        <f>+E12+E13+E14</f>
        <v>0</v>
      </c>
      <c r="F11" s="238">
        <f>+F12+F13+F14</f>
        <v>0</v>
      </c>
      <c r="G11" s="240"/>
      <c r="H11" s="266" t="s">
        <v>593</v>
      </c>
      <c r="I11" s="237"/>
      <c r="J11" s="278"/>
    </row>
    <row r="12" spans="2:10" ht="18" x14ac:dyDescent="0.35">
      <c r="B12" s="235">
        <v>11</v>
      </c>
      <c r="C12" s="239" t="s">
        <v>461</v>
      </c>
      <c r="D12" s="237"/>
      <c r="E12" s="237"/>
      <c r="F12" s="237"/>
      <c r="H12" s="280"/>
      <c r="J12" s="278"/>
    </row>
    <row r="13" spans="2:10" ht="18" x14ac:dyDescent="0.35">
      <c r="B13" s="235">
        <v>12</v>
      </c>
      <c r="C13" s="239" t="s">
        <v>178</v>
      </c>
      <c r="D13" s="237"/>
      <c r="E13" s="237"/>
      <c r="F13" s="237"/>
      <c r="J13" s="278"/>
    </row>
    <row r="14" spans="2:10" ht="18" x14ac:dyDescent="0.35">
      <c r="B14" s="235">
        <v>13</v>
      </c>
      <c r="C14" s="239" t="s">
        <v>179</v>
      </c>
      <c r="D14" s="281"/>
      <c r="E14" s="281"/>
      <c r="F14" s="281"/>
      <c r="H14" s="764" t="s">
        <v>714</v>
      </c>
      <c r="I14" s="764"/>
      <c r="J14" s="278"/>
    </row>
    <row r="15" spans="2:10" ht="18" x14ac:dyDescent="0.35">
      <c r="B15" s="235">
        <v>14</v>
      </c>
      <c r="C15" s="239" t="s">
        <v>401</v>
      </c>
      <c r="D15" s="281"/>
      <c r="E15" s="281"/>
      <c r="F15" s="281"/>
      <c r="H15" s="266" t="s">
        <v>715</v>
      </c>
      <c r="I15" s="237"/>
      <c r="J15" s="278"/>
    </row>
    <row r="16" spans="2:10" ht="18" x14ac:dyDescent="0.35">
      <c r="B16" s="235">
        <v>15</v>
      </c>
      <c r="C16" s="239" t="s">
        <v>55</v>
      </c>
      <c r="D16" s="281"/>
      <c r="E16" s="281"/>
      <c r="F16" s="281"/>
      <c r="H16" s="266"/>
      <c r="I16" s="291"/>
      <c r="J16" s="278"/>
    </row>
    <row r="17" spans="1:10" ht="18" x14ac:dyDescent="0.35">
      <c r="B17" s="235">
        <v>16</v>
      </c>
      <c r="C17" s="239" t="s">
        <v>462</v>
      </c>
      <c r="D17" s="281">
        <f>D53</f>
        <v>0</v>
      </c>
      <c r="E17" s="281">
        <f>E53</f>
        <v>0</v>
      </c>
      <c r="F17" s="281">
        <f>F53</f>
        <v>0</v>
      </c>
      <c r="H17" s="266"/>
      <c r="I17" s="237"/>
      <c r="J17" s="278"/>
    </row>
    <row r="18" spans="1:10" ht="18" x14ac:dyDescent="0.35">
      <c r="B18" s="235">
        <v>17</v>
      </c>
      <c r="C18" s="236" t="s">
        <v>463</v>
      </c>
      <c r="D18" s="238">
        <f>+D10+D11-D17</f>
        <v>0</v>
      </c>
      <c r="E18" s="238">
        <f>+E10+E11-E17</f>
        <v>0</v>
      </c>
      <c r="F18" s="238">
        <f>+F10+F11-F17</f>
        <v>0</v>
      </c>
      <c r="G18" s="313"/>
      <c r="H18" s="266"/>
      <c r="I18" s="237">
        <f>SUM(I15:I17)</f>
        <v>0</v>
      </c>
      <c r="J18" s="278"/>
    </row>
    <row r="19" spans="1:10" ht="25.2" x14ac:dyDescent="0.45">
      <c r="C19" s="234"/>
      <c r="D19" s="736">
        <f>D18-D52</f>
        <v>0</v>
      </c>
      <c r="J19" s="278"/>
    </row>
    <row r="20" spans="1:10" ht="25.2" x14ac:dyDescent="0.45">
      <c r="C20" s="234"/>
      <c r="J20" s="278"/>
    </row>
    <row r="21" spans="1:10" ht="21.6" thickBot="1" x14ac:dyDescent="0.45">
      <c r="C21" s="241" t="s">
        <v>464</v>
      </c>
      <c r="J21" s="278"/>
    </row>
    <row r="22" spans="1:10" ht="18.600000000000001" thickBot="1" x14ac:dyDescent="0.4">
      <c r="A22" s="759" t="s">
        <v>465</v>
      </c>
      <c r="B22" s="242" t="s">
        <v>466</v>
      </c>
      <c r="C22" s="243" t="s">
        <v>467</v>
      </c>
      <c r="D22" s="244" t="s">
        <v>156</v>
      </c>
      <c r="E22" s="244" t="s">
        <v>156</v>
      </c>
      <c r="F22" s="244" t="s">
        <v>156</v>
      </c>
      <c r="H22" s="280"/>
      <c r="J22" s="278"/>
    </row>
    <row r="23" spans="1:10" x14ac:dyDescent="0.3">
      <c r="A23" s="760"/>
      <c r="B23" s="245">
        <v>1</v>
      </c>
      <c r="C23" s="246" t="s">
        <v>115</v>
      </c>
      <c r="D23" s="282"/>
      <c r="E23" s="282"/>
      <c r="F23" s="282"/>
    </row>
    <row r="24" spans="1:10" x14ac:dyDescent="0.3">
      <c r="A24" s="760"/>
      <c r="B24" s="245">
        <v>2</v>
      </c>
      <c r="C24" s="246" t="s">
        <v>116</v>
      </c>
      <c r="D24" s="283"/>
      <c r="E24" s="283"/>
      <c r="F24" s="283"/>
    </row>
    <row r="25" spans="1:10" x14ac:dyDescent="0.3">
      <c r="A25" s="760"/>
      <c r="B25" s="245">
        <v>3</v>
      </c>
      <c r="C25" s="246" t="s">
        <v>117</v>
      </c>
      <c r="D25" s="283"/>
      <c r="E25" s="283"/>
      <c r="F25" s="283"/>
    </row>
    <row r="26" spans="1:10" x14ac:dyDescent="0.3">
      <c r="A26" s="760"/>
      <c r="B26" s="245">
        <v>4</v>
      </c>
      <c r="C26" s="246" t="s">
        <v>118</v>
      </c>
      <c r="D26" s="283"/>
      <c r="E26" s="283"/>
      <c r="F26" s="283"/>
    </row>
    <row r="27" spans="1:10" x14ac:dyDescent="0.3">
      <c r="A27" s="760"/>
      <c r="B27" s="245">
        <v>5</v>
      </c>
      <c r="C27" s="246" t="s">
        <v>119</v>
      </c>
      <c r="D27" s="283"/>
      <c r="E27" s="283"/>
      <c r="F27" s="283"/>
    </row>
    <row r="28" spans="1:10" x14ac:dyDescent="0.3">
      <c r="A28" s="760"/>
      <c r="B28" s="245">
        <v>6</v>
      </c>
      <c r="C28" s="246" t="s">
        <v>120</v>
      </c>
      <c r="D28" s="283"/>
      <c r="E28" s="283"/>
      <c r="F28" s="283"/>
    </row>
    <row r="29" spans="1:10" x14ac:dyDescent="0.3">
      <c r="A29" s="760"/>
      <c r="B29" s="245">
        <v>7</v>
      </c>
      <c r="C29" s="246" t="s">
        <v>121</v>
      </c>
      <c r="D29" s="283">
        <f>+D8-SUM(D23:D28)-D30-D31</f>
        <v>0</v>
      </c>
      <c r="E29" s="283">
        <f t="shared" ref="E29:F29" si="1">+E8-SUM(E23:E28)-E30-E31</f>
        <v>0</v>
      </c>
      <c r="F29" s="283">
        <f t="shared" si="1"/>
        <v>0</v>
      </c>
    </row>
    <row r="30" spans="1:10" x14ac:dyDescent="0.3">
      <c r="A30" s="760"/>
      <c r="B30" s="247">
        <v>8</v>
      </c>
      <c r="C30" s="248" t="s">
        <v>122</v>
      </c>
      <c r="D30" s="283"/>
      <c r="E30" s="283"/>
      <c r="F30" s="283"/>
    </row>
    <row r="31" spans="1:10" ht="16.2" thickBot="1" x14ac:dyDescent="0.35">
      <c r="A31" s="760"/>
      <c r="B31" s="249">
        <v>9</v>
      </c>
      <c r="C31" s="248" t="s">
        <v>123</v>
      </c>
      <c r="D31" s="284"/>
      <c r="E31" s="284"/>
      <c r="F31" s="284"/>
    </row>
    <row r="32" spans="1:10" ht="18.600000000000001" thickBot="1" x14ac:dyDescent="0.4">
      <c r="A32" s="761"/>
      <c r="B32" s="242"/>
      <c r="C32" s="250" t="s">
        <v>468</v>
      </c>
      <c r="D32" s="285">
        <f>SUM(D23:D31)</f>
        <v>0</v>
      </c>
      <c r="E32" s="285">
        <f t="shared" ref="E32:F32" si="2">SUM(E23:E31)</f>
        <v>0</v>
      </c>
      <c r="F32" s="285">
        <f t="shared" si="2"/>
        <v>0</v>
      </c>
      <c r="H32" s="301"/>
    </row>
    <row r="33" spans="1:12" x14ac:dyDescent="0.3">
      <c r="A33" s="762" t="s">
        <v>469</v>
      </c>
      <c r="B33" s="251">
        <v>10</v>
      </c>
      <c r="C33" s="246" t="s">
        <v>127</v>
      </c>
      <c r="D33" s="286"/>
      <c r="E33" s="286"/>
      <c r="F33" s="286"/>
      <c r="G33" s="299"/>
      <c r="I33" s="300"/>
      <c r="J33" s="277"/>
    </row>
    <row r="34" spans="1:12" x14ac:dyDescent="0.3">
      <c r="A34" s="762"/>
      <c r="B34" s="235">
        <v>11</v>
      </c>
      <c r="C34" s="246" t="s">
        <v>128</v>
      </c>
      <c r="D34" s="283"/>
      <c r="E34" s="283"/>
      <c r="F34" s="283"/>
      <c r="G34" s="299"/>
      <c r="J34" s="277"/>
      <c r="K34" s="277"/>
    </row>
    <row r="35" spans="1:12" x14ac:dyDescent="0.3">
      <c r="A35" s="762"/>
      <c r="B35" s="235">
        <v>12</v>
      </c>
      <c r="C35" s="246" t="s">
        <v>129</v>
      </c>
      <c r="D35" s="283"/>
      <c r="E35" s="703"/>
      <c r="F35" s="702"/>
      <c r="G35" s="299"/>
      <c r="J35" s="277"/>
      <c r="K35" s="277"/>
    </row>
    <row r="36" spans="1:12" x14ac:dyDescent="0.3">
      <c r="A36" s="762"/>
      <c r="B36" s="235">
        <v>13</v>
      </c>
      <c r="C36" s="246" t="s">
        <v>130</v>
      </c>
      <c r="D36" s="283"/>
      <c r="E36" s="702"/>
      <c r="F36" s="702"/>
      <c r="G36" s="299"/>
      <c r="J36" s="277"/>
      <c r="K36" s="277"/>
    </row>
    <row r="37" spans="1:12" x14ac:dyDescent="0.3">
      <c r="A37" s="762"/>
      <c r="B37" s="235">
        <v>14</v>
      </c>
      <c r="C37" s="246" t="s">
        <v>131</v>
      </c>
      <c r="D37" s="283"/>
      <c r="E37" s="702"/>
      <c r="F37" s="702"/>
      <c r="G37" s="299"/>
      <c r="J37" s="277"/>
      <c r="K37" s="277"/>
    </row>
    <row r="38" spans="1:12" x14ac:dyDescent="0.3">
      <c r="A38" s="762"/>
      <c r="B38" s="235">
        <v>15</v>
      </c>
      <c r="C38" s="246" t="s">
        <v>132</v>
      </c>
      <c r="D38" s="355"/>
      <c r="E38" s="355"/>
      <c r="F38" s="702"/>
      <c r="G38" s="299"/>
      <c r="J38" s="277"/>
      <c r="K38" s="277"/>
    </row>
    <row r="39" spans="1:12" x14ac:dyDescent="0.3">
      <c r="A39" s="762"/>
      <c r="B39" s="235">
        <v>16</v>
      </c>
      <c r="C39" s="246" t="s">
        <v>120</v>
      </c>
      <c r="D39" s="283"/>
      <c r="E39" s="702"/>
      <c r="F39" s="702"/>
      <c r="G39" s="299"/>
      <c r="J39" s="277"/>
      <c r="K39" s="277"/>
    </row>
    <row r="40" spans="1:12" x14ac:dyDescent="0.3">
      <c r="A40" s="762"/>
      <c r="B40" s="235">
        <v>17</v>
      </c>
      <c r="C40" s="252" t="s">
        <v>133</v>
      </c>
      <c r="D40" s="283"/>
      <c r="E40" s="702"/>
      <c r="F40" s="702"/>
      <c r="G40" s="299"/>
      <c r="J40" s="277"/>
      <c r="K40" s="277"/>
      <c r="L40" s="298"/>
    </row>
    <row r="41" spans="1:12" x14ac:dyDescent="0.3">
      <c r="A41" s="762"/>
      <c r="B41" s="235">
        <v>18</v>
      </c>
      <c r="C41" s="246" t="s">
        <v>134</v>
      </c>
      <c r="D41" s="283"/>
      <c r="E41" s="283"/>
      <c r="F41" s="283"/>
      <c r="G41" s="299"/>
      <c r="J41" s="277"/>
      <c r="K41" s="277"/>
      <c r="L41" s="299"/>
    </row>
    <row r="42" spans="1:12" x14ac:dyDescent="0.3">
      <c r="A42" s="762"/>
      <c r="B42" s="235">
        <v>19</v>
      </c>
      <c r="C42" s="246" t="s">
        <v>135</v>
      </c>
      <c r="D42" s="283"/>
      <c r="E42" s="283"/>
      <c r="F42" s="283"/>
      <c r="G42" s="299"/>
      <c r="J42" s="277"/>
      <c r="K42" s="277"/>
    </row>
    <row r="43" spans="1:12" x14ac:dyDescent="0.3">
      <c r="A43" s="762"/>
      <c r="B43" s="235">
        <v>20</v>
      </c>
      <c r="C43" s="246" t="s">
        <v>136</v>
      </c>
      <c r="D43" s="283"/>
      <c r="E43" s="283"/>
      <c r="F43" s="283"/>
      <c r="G43" s="299"/>
      <c r="J43" s="277"/>
      <c r="K43" s="277"/>
    </row>
    <row r="44" spans="1:12" x14ac:dyDescent="0.3">
      <c r="A44" s="762"/>
      <c r="B44" s="235">
        <v>21</v>
      </c>
      <c r="C44" s="246" t="s">
        <v>137</v>
      </c>
      <c r="D44" s="283"/>
      <c r="E44" s="283"/>
      <c r="F44" s="283"/>
      <c r="G44" s="299"/>
      <c r="J44" s="277"/>
      <c r="K44" s="277"/>
    </row>
    <row r="45" spans="1:12" x14ac:dyDescent="0.3">
      <c r="A45" s="762"/>
      <c r="B45" s="235">
        <v>22</v>
      </c>
      <c r="C45" s="246" t="s">
        <v>138</v>
      </c>
      <c r="D45" s="283"/>
      <c r="E45" s="283"/>
      <c r="F45" s="283"/>
      <c r="G45" s="299"/>
      <c r="J45" s="277"/>
      <c r="K45" s="277"/>
    </row>
    <row r="46" spans="1:12" x14ac:dyDescent="0.3">
      <c r="A46" s="762"/>
      <c r="B46" s="235">
        <v>23</v>
      </c>
      <c r="C46" s="246" t="s">
        <v>139</v>
      </c>
      <c r="D46" s="283"/>
      <c r="E46" s="283"/>
      <c r="F46" s="283"/>
      <c r="G46" s="299"/>
      <c r="J46" s="277"/>
      <c r="K46" s="277"/>
    </row>
    <row r="47" spans="1:12" x14ac:dyDescent="0.3">
      <c r="A47" s="762"/>
      <c r="B47" s="235">
        <v>24</v>
      </c>
      <c r="C47" s="246" t="s">
        <v>140</v>
      </c>
      <c r="D47" s="283"/>
      <c r="E47" s="283"/>
      <c r="F47" s="283"/>
      <c r="G47" s="299"/>
      <c r="J47" s="277"/>
      <c r="K47" s="277"/>
    </row>
    <row r="48" spans="1:12" x14ac:dyDescent="0.3">
      <c r="A48" s="762"/>
      <c r="B48" s="235">
        <v>25</v>
      </c>
      <c r="C48" s="246" t="s">
        <v>141</v>
      </c>
      <c r="D48" s="283"/>
      <c r="E48" s="702"/>
      <c r="F48" s="702"/>
      <c r="G48" s="299"/>
      <c r="J48" s="277"/>
      <c r="K48" s="277"/>
    </row>
    <row r="49" spans="1:8" x14ac:dyDescent="0.3">
      <c r="A49" s="763"/>
      <c r="B49" s="235">
        <v>26</v>
      </c>
      <c r="C49" s="246" t="s">
        <v>388</v>
      </c>
      <c r="D49" s="283"/>
      <c r="E49" s="283"/>
      <c r="F49" s="283"/>
    </row>
    <row r="50" spans="1:8" x14ac:dyDescent="0.3">
      <c r="A50" s="763"/>
      <c r="B50" s="235">
        <v>27</v>
      </c>
      <c r="C50" s="246" t="s">
        <v>389</v>
      </c>
      <c r="D50" s="283"/>
      <c r="E50" s="283"/>
      <c r="F50" s="283"/>
    </row>
    <row r="51" spans="1:8" x14ac:dyDescent="0.3">
      <c r="A51" s="763"/>
      <c r="B51" s="235">
        <v>28</v>
      </c>
      <c r="C51" s="246" t="s">
        <v>122</v>
      </c>
      <c r="D51" s="283"/>
      <c r="E51" s="283"/>
      <c r="F51" s="283"/>
    </row>
    <row r="52" spans="1:8" ht="16.2" thickBot="1" x14ac:dyDescent="0.35">
      <c r="A52" s="763"/>
      <c r="B52" s="253">
        <v>29</v>
      </c>
      <c r="C52" s="246" t="s">
        <v>123</v>
      </c>
      <c r="D52" s="287">
        <f>'Annex-D'!N19</f>
        <v>0</v>
      </c>
      <c r="E52" s="287"/>
      <c r="F52" s="287"/>
    </row>
    <row r="53" spans="1:8" ht="18.600000000000001" thickBot="1" x14ac:dyDescent="0.4">
      <c r="A53" s="763"/>
      <c r="B53" s="251"/>
      <c r="C53" s="729" t="s">
        <v>470</v>
      </c>
      <c r="D53" s="731">
        <f>SUM(D33:D52)</f>
        <v>0</v>
      </c>
      <c r="E53" s="731">
        <f t="shared" ref="E53:F53" si="3">SUM(E33:E52)</f>
        <v>0</v>
      </c>
      <c r="F53" s="731">
        <f t="shared" si="3"/>
        <v>0</v>
      </c>
      <c r="H53" s="299"/>
    </row>
    <row r="54" spans="1:8" ht="16.2" thickBot="1" x14ac:dyDescent="0.35">
      <c r="A54" s="254"/>
      <c r="B54" s="255"/>
      <c r="C54" s="256"/>
      <c r="D54" s="730"/>
      <c r="E54" s="699"/>
      <c r="F54" s="699"/>
    </row>
    <row r="55" spans="1:8" x14ac:dyDescent="0.3">
      <c r="D55" s="288"/>
      <c r="E55" s="288"/>
      <c r="F55" s="288"/>
    </row>
    <row r="56" spans="1:8" x14ac:dyDescent="0.3">
      <c r="C56" s="257" t="s">
        <v>471</v>
      </c>
      <c r="D56" s="289">
        <f>D18</f>
        <v>0</v>
      </c>
      <c r="E56" s="289"/>
      <c r="F56" s="289"/>
    </row>
    <row r="57" spans="1:8" x14ac:dyDescent="0.3">
      <c r="C57" s="257" t="s">
        <v>472</v>
      </c>
      <c r="D57" s="289"/>
      <c r="E57" s="289"/>
      <c r="F57" s="289"/>
    </row>
    <row r="58" spans="1:8" x14ac:dyDescent="0.3">
      <c r="C58" s="257" t="s">
        <v>473</v>
      </c>
      <c r="D58" s="289"/>
      <c r="E58" s="289"/>
      <c r="F58" s="289"/>
    </row>
    <row r="59" spans="1:8" x14ac:dyDescent="0.3">
      <c r="C59" s="257" t="s">
        <v>489</v>
      </c>
      <c r="D59" s="289"/>
      <c r="E59" s="289"/>
      <c r="F59" s="289"/>
    </row>
    <row r="60" spans="1:8" x14ac:dyDescent="0.3">
      <c r="C60" s="257" t="s">
        <v>474</v>
      </c>
      <c r="D60" s="289"/>
      <c r="E60" s="289"/>
      <c r="F60" s="289"/>
    </row>
    <row r="61" spans="1:8" x14ac:dyDescent="0.3">
      <c r="C61" s="257" t="s">
        <v>475</v>
      </c>
      <c r="D61" s="289"/>
      <c r="E61" s="289"/>
      <c r="F61" s="289"/>
    </row>
    <row r="62" spans="1:8" x14ac:dyDescent="0.3">
      <c r="D62" s="290">
        <f>D56+D57+D58+D59+D61+D60</f>
        <v>0</v>
      </c>
      <c r="E62" s="290"/>
      <c r="F62" s="290"/>
    </row>
    <row r="63" spans="1:8" x14ac:dyDescent="0.3">
      <c r="D63" s="288"/>
      <c r="E63" s="288"/>
      <c r="F63" s="288"/>
    </row>
    <row r="66" spans="1:11" x14ac:dyDescent="0.3">
      <c r="A66" s="258" t="s">
        <v>476</v>
      </c>
      <c r="B66" s="259"/>
      <c r="C66" s="258"/>
      <c r="D66" s="259" t="s">
        <v>477</v>
      </c>
      <c r="E66" s="259"/>
      <c r="F66" s="259"/>
      <c r="G66" s="258" t="s">
        <v>478</v>
      </c>
      <c r="K66" s="258"/>
    </row>
    <row r="67" spans="1:11" x14ac:dyDescent="0.3">
      <c r="A67" s="260"/>
      <c r="B67" s="261"/>
      <c r="C67" s="262"/>
      <c r="D67" s="261"/>
      <c r="E67" s="261"/>
      <c r="F67" s="261"/>
      <c r="G67" s="262"/>
    </row>
    <row r="68" spans="1:11" x14ac:dyDescent="0.3">
      <c r="A68" s="260"/>
      <c r="B68" s="261"/>
      <c r="C68" s="262"/>
      <c r="D68" s="261"/>
      <c r="E68" s="261"/>
      <c r="F68" s="261"/>
      <c r="G68" s="262"/>
    </row>
    <row r="69" spans="1:11" x14ac:dyDescent="0.3">
      <c r="A69" s="260"/>
      <c r="B69" s="261"/>
      <c r="C69" s="262"/>
      <c r="D69" s="261"/>
      <c r="E69" s="261"/>
      <c r="F69" s="261"/>
      <c r="G69" s="262"/>
    </row>
    <row r="70" spans="1:11" x14ac:dyDescent="0.3">
      <c r="A70" s="260"/>
      <c r="B70" s="261"/>
      <c r="C70" s="262"/>
      <c r="D70" s="261"/>
      <c r="E70" s="261"/>
      <c r="F70" s="261"/>
      <c r="G70" s="262"/>
    </row>
    <row r="71" spans="1:11" x14ac:dyDescent="0.3">
      <c r="A71" s="260"/>
      <c r="B71" s="261"/>
      <c r="C71" s="262"/>
      <c r="D71" s="261"/>
      <c r="E71" s="261"/>
      <c r="F71" s="261"/>
      <c r="G71" s="262"/>
    </row>
    <row r="72" spans="1:11" x14ac:dyDescent="0.3">
      <c r="A72" s="260"/>
      <c r="B72" s="261"/>
      <c r="C72" s="262"/>
      <c r="D72" s="261"/>
      <c r="E72" s="261"/>
      <c r="F72" s="261"/>
      <c r="G72" s="262"/>
    </row>
    <row r="73" spans="1:11" ht="16.2" thickBot="1" x14ac:dyDescent="0.35">
      <c r="A73" s="263">
        <v>1</v>
      </c>
      <c r="B73" s="261"/>
      <c r="C73" s="258" t="s">
        <v>479</v>
      </c>
      <c r="D73" s="264">
        <f>SUM(D67:D72)</f>
        <v>0</v>
      </c>
      <c r="E73" s="264"/>
      <c r="F73" s="264"/>
      <c r="G73" s="264">
        <f>SUM(G67:G72)</f>
        <v>0</v>
      </c>
      <c r="H73" s="279"/>
      <c r="I73" s="279"/>
      <c r="J73" s="264"/>
    </row>
    <row r="74" spans="1:11" ht="16.2" thickTop="1" x14ac:dyDescent="0.3"/>
  </sheetData>
  <sheetProtection selectLockedCells="1"/>
  <mergeCells count="5">
    <mergeCell ref="A22:A32"/>
    <mergeCell ref="A33:A53"/>
    <mergeCell ref="H3:I3"/>
    <mergeCell ref="H9:I9"/>
    <mergeCell ref="H14:I14"/>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2" tint="-0.749992370372631"/>
    <pageSetUpPr fitToPage="1"/>
  </sheetPr>
  <dimension ref="A1:HZ176"/>
  <sheetViews>
    <sheetView zoomScaleNormal="100" zoomScaleSheetLayoutView="90" workbookViewId="0">
      <selection activeCell="C5" sqref="C5:F5"/>
    </sheetView>
  </sheetViews>
  <sheetFormatPr defaultColWidth="15.44140625" defaultRowHeight="18" customHeight="1" outlineLevelCol="1" x14ac:dyDescent="0.25"/>
  <cols>
    <col min="1" max="1" width="5.109375" style="7" customWidth="1"/>
    <col min="2" max="2" width="5.109375" style="8" customWidth="1"/>
    <col min="3" max="3" width="61.33203125" style="29" customWidth="1"/>
    <col min="4" max="4" width="16" style="29" customWidth="1"/>
    <col min="5" max="5" width="9.5546875" style="21" customWidth="1"/>
    <col min="6" max="7" width="16.33203125" style="7" customWidth="1"/>
    <col min="8" max="8" width="17.5546875" style="7" customWidth="1"/>
    <col min="9" max="9" width="21.88671875" style="171" customWidth="1"/>
    <col min="10" max="10" width="14.109375" style="171" hidden="1" customWidth="1" outlineLevel="1"/>
    <col min="11" max="11" width="4.6640625" style="172" hidden="1" customWidth="1" outlineLevel="1"/>
    <col min="12" max="12" width="18.109375" style="172" hidden="1" customWidth="1" outlineLevel="1"/>
    <col min="13" max="13" width="16.109375" style="172" hidden="1" customWidth="1" outlineLevel="1"/>
    <col min="14" max="14" width="10.33203125" style="172" hidden="1" customWidth="1" outlineLevel="1"/>
    <col min="15" max="15" width="19.6640625" style="172" hidden="1" customWidth="1" outlineLevel="1"/>
    <col min="16" max="16" width="19.88671875" style="172" hidden="1" customWidth="1" outlineLevel="1"/>
    <col min="17" max="17" width="9.44140625" style="172" hidden="1" customWidth="1" outlineLevel="1"/>
    <col min="18" max="18" width="11.5546875" style="157" hidden="1" customWidth="1" outlineLevel="1"/>
    <col min="19" max="19" width="15.44140625" style="157" customWidth="1" collapsed="1"/>
    <col min="20" max="31" width="15.44140625" style="157" customWidth="1"/>
    <col min="32" max="16384" width="15.44140625" style="157"/>
  </cols>
  <sheetData>
    <row r="1" spans="1:19" ht="18" customHeight="1" thickBot="1" x14ac:dyDescent="0.3">
      <c r="A1" s="873" t="s">
        <v>734</v>
      </c>
      <c r="B1" s="874"/>
      <c r="C1" s="874"/>
      <c r="D1" s="874"/>
      <c r="E1" s="874"/>
      <c r="F1" s="874"/>
      <c r="G1" s="874"/>
      <c r="H1" s="875"/>
    </row>
    <row r="2" spans="1:19" ht="15.75" customHeight="1" x14ac:dyDescent="0.25">
      <c r="A2" s="828" t="s">
        <v>72</v>
      </c>
      <c r="B2" s="829"/>
      <c r="C2" s="829"/>
      <c r="D2" s="829"/>
      <c r="E2" s="829"/>
      <c r="F2" s="829"/>
      <c r="G2" s="829"/>
      <c r="H2" s="509" t="s">
        <v>73</v>
      </c>
      <c r="I2" s="155"/>
      <c r="J2" s="155"/>
      <c r="K2" s="156"/>
      <c r="L2" s="156"/>
      <c r="M2" s="157"/>
      <c r="N2" s="156"/>
      <c r="O2" s="156"/>
      <c r="P2" s="156"/>
      <c r="Q2" s="156"/>
    </row>
    <row r="3" spans="1:19" ht="15" customHeight="1" x14ac:dyDescent="0.25">
      <c r="A3" s="830" t="s">
        <v>74</v>
      </c>
      <c r="B3" s="831"/>
      <c r="C3" s="831"/>
      <c r="D3" s="831"/>
      <c r="E3" s="831"/>
      <c r="F3" s="831"/>
      <c r="G3" s="831"/>
      <c r="H3" s="832"/>
      <c r="I3" s="155"/>
      <c r="J3" s="155"/>
      <c r="K3" s="158"/>
      <c r="L3" s="159"/>
      <c r="M3" s="160"/>
      <c r="N3" s="160"/>
      <c r="O3" s="160"/>
      <c r="P3" s="160"/>
      <c r="Q3" s="160"/>
      <c r="R3" s="158"/>
      <c r="S3" s="158"/>
    </row>
    <row r="4" spans="1:19" s="163" customFormat="1" ht="13.8" x14ac:dyDescent="0.25">
      <c r="A4" s="833" t="s">
        <v>37</v>
      </c>
      <c r="B4" s="834"/>
      <c r="C4" s="835" t="str">
        <f>+PROFILE!K3</f>
        <v>MUHAMMAD RAHIL IQBAL</v>
      </c>
      <c r="D4" s="836"/>
      <c r="E4" s="836"/>
      <c r="F4" s="837"/>
      <c r="G4" s="705" t="s">
        <v>38</v>
      </c>
      <c r="H4" s="526" t="str">
        <f>PROFILE!AU7</f>
        <v>2024</v>
      </c>
      <c r="I4" s="161"/>
      <c r="J4" s="879">
        <v>2</v>
      </c>
      <c r="K4" s="879"/>
      <c r="L4" s="879"/>
      <c r="M4" s="879"/>
      <c r="N4" s="162"/>
      <c r="O4" s="162"/>
      <c r="P4" s="162"/>
      <c r="Q4" s="162"/>
      <c r="R4" s="162"/>
      <c r="S4" s="162"/>
    </row>
    <row r="5" spans="1:19" s="163" customFormat="1" ht="13.8" x14ac:dyDescent="0.25">
      <c r="A5" s="833" t="s">
        <v>39</v>
      </c>
      <c r="B5" s="834"/>
      <c r="C5" s="838" t="str">
        <f>+PROFILE!AU5</f>
        <v>-</v>
      </c>
      <c r="D5" s="839"/>
      <c r="E5" s="839"/>
      <c r="F5" s="840"/>
      <c r="G5" s="318" t="s">
        <v>75</v>
      </c>
      <c r="H5" s="527" t="str">
        <f>PROFILE!AU4</f>
        <v>-</v>
      </c>
      <c r="I5" s="161"/>
      <c r="J5" s="164">
        <v>1</v>
      </c>
      <c r="K5" s="165"/>
      <c r="L5" s="165"/>
      <c r="S5" s="162"/>
    </row>
    <row r="6" spans="1:19" s="163" customFormat="1" ht="15.75" customHeight="1" x14ac:dyDescent="0.25">
      <c r="A6" s="833" t="s">
        <v>41</v>
      </c>
      <c r="B6" s="834"/>
      <c r="C6" s="835" t="str">
        <f>+PROFILE!K5</f>
        <v>-</v>
      </c>
      <c r="D6" s="836"/>
      <c r="E6" s="836"/>
      <c r="F6" s="836"/>
      <c r="G6" s="706"/>
      <c r="H6" s="528"/>
      <c r="I6" s="341" t="s">
        <v>573</v>
      </c>
      <c r="J6" s="164"/>
      <c r="K6" s="165"/>
      <c r="L6" s="165"/>
      <c r="M6" s="171"/>
      <c r="S6" s="162"/>
    </row>
    <row r="7" spans="1:19" s="170" customFormat="1" ht="36" x14ac:dyDescent="0.25">
      <c r="A7" s="529"/>
      <c r="B7" s="707" t="s">
        <v>42</v>
      </c>
      <c r="C7" s="841" t="s">
        <v>43</v>
      </c>
      <c r="D7" s="841"/>
      <c r="E7" s="30" t="s">
        <v>44</v>
      </c>
      <c r="F7" s="31" t="s">
        <v>45</v>
      </c>
      <c r="G7" s="319" t="s">
        <v>76</v>
      </c>
      <c r="H7" s="530" t="s">
        <v>46</v>
      </c>
      <c r="I7" s="166"/>
      <c r="J7" s="167"/>
      <c r="K7" s="168"/>
      <c r="L7" s="169"/>
      <c r="S7" s="169"/>
    </row>
    <row r="8" spans="1:19" ht="15" customHeight="1" x14ac:dyDescent="0.25">
      <c r="A8" s="531"/>
      <c r="B8" s="707"/>
      <c r="C8" s="841"/>
      <c r="D8" s="841"/>
      <c r="E8" s="704"/>
      <c r="F8" s="14" t="s">
        <v>47</v>
      </c>
      <c r="G8" s="32" t="s">
        <v>48</v>
      </c>
      <c r="H8" s="532" t="s">
        <v>49</v>
      </c>
      <c r="K8" s="159"/>
      <c r="L8" s="159"/>
      <c r="S8" s="158"/>
    </row>
    <row r="9" spans="1:19" ht="12.75" customHeight="1" x14ac:dyDescent="0.25">
      <c r="A9" s="848" t="s">
        <v>50</v>
      </c>
      <c r="B9" s="325">
        <v>1</v>
      </c>
      <c r="C9" s="842" t="s">
        <v>666</v>
      </c>
      <c r="D9" s="842"/>
      <c r="E9" s="704">
        <v>2000</v>
      </c>
      <c r="F9" s="673">
        <f>SUM(F10:F14)-SUM(F15:F18)</f>
        <v>0</v>
      </c>
      <c r="G9" s="364">
        <f>SUM(G10:G12)</f>
        <v>0</v>
      </c>
      <c r="H9" s="674">
        <f>SUM(H10:H14)-SUM(H15:H18)</f>
        <v>0</v>
      </c>
      <c r="K9" s="159"/>
      <c r="L9" s="159"/>
      <c r="S9" s="158"/>
    </row>
    <row r="10" spans="1:19" ht="13.2" x14ac:dyDescent="0.25">
      <c r="A10" s="849"/>
      <c r="B10" s="325">
        <f t="shared" ref="B10:B71" si="0">+B9+1</f>
        <v>2</v>
      </c>
      <c r="C10" s="851" t="s">
        <v>51</v>
      </c>
      <c r="D10" s="852"/>
      <c r="E10" s="16">
        <v>2001</v>
      </c>
      <c r="F10" s="33"/>
      <c r="G10" s="15"/>
      <c r="H10" s="533">
        <f>MAX(SUM(F10)-SUM(G10),0)</f>
        <v>0</v>
      </c>
      <c r="K10" s="159"/>
      <c r="L10" s="159"/>
      <c r="S10" s="158"/>
    </row>
    <row r="11" spans="1:19" ht="13.2" x14ac:dyDescent="0.25">
      <c r="A11" s="849"/>
      <c r="B11" s="325">
        <f t="shared" si="0"/>
        <v>3</v>
      </c>
      <c r="C11" s="850" t="s">
        <v>52</v>
      </c>
      <c r="D11" s="850"/>
      <c r="E11" s="16">
        <v>2002</v>
      </c>
      <c r="F11" s="33"/>
      <c r="G11" s="15"/>
      <c r="H11" s="533">
        <f>MAX(SUM(F11)-SUM(G11),0)</f>
        <v>0</v>
      </c>
      <c r="I11" s="332">
        <f>F10*1/10</f>
        <v>0</v>
      </c>
      <c r="J11" s="155"/>
      <c r="K11" s="159"/>
      <c r="L11" s="159"/>
      <c r="S11" s="158"/>
    </row>
    <row r="12" spans="1:19" ht="15.6" x14ac:dyDescent="0.3">
      <c r="A12" s="849"/>
      <c r="B12" s="325">
        <f t="shared" si="0"/>
        <v>4</v>
      </c>
      <c r="C12" s="850" t="s">
        <v>53</v>
      </c>
      <c r="D12" s="850"/>
      <c r="E12" s="16">
        <v>2003</v>
      </c>
      <c r="F12" s="33"/>
      <c r="G12" s="15">
        <f>F12</f>
        <v>0</v>
      </c>
      <c r="H12" s="533">
        <f>MAX(SUM(F12)-SUM(G12),0)</f>
        <v>0</v>
      </c>
      <c r="K12" s="159"/>
      <c r="L12" s="159"/>
      <c r="M12" s="271" t="s">
        <v>487</v>
      </c>
      <c r="N12" s="272"/>
      <c r="O12" s="273">
        <f>+H47</f>
        <v>0</v>
      </c>
      <c r="P12" s="274"/>
      <c r="Q12" s="275" t="s">
        <v>488</v>
      </c>
      <c r="R12" s="273">
        <f>MAX(R20:R27)</f>
        <v>0</v>
      </c>
      <c r="S12" s="158"/>
    </row>
    <row r="13" spans="1:19" ht="15.6" x14ac:dyDescent="0.3">
      <c r="A13" s="849"/>
      <c r="B13" s="325">
        <f t="shared" si="0"/>
        <v>5</v>
      </c>
      <c r="C13" s="843" t="s">
        <v>667</v>
      </c>
      <c r="D13" s="844"/>
      <c r="E13" s="16">
        <v>2004</v>
      </c>
      <c r="F13" s="33"/>
      <c r="G13" s="15"/>
      <c r="H13" s="533">
        <f t="shared" ref="H13:H14" si="1">MAX(SUM(F13)-SUM(G13),0)</f>
        <v>0</v>
      </c>
      <c r="K13" s="159"/>
      <c r="L13" s="159"/>
      <c r="M13" s="271"/>
      <c r="N13" s="272"/>
      <c r="O13" s="273"/>
      <c r="P13" s="274"/>
      <c r="Q13" s="275"/>
      <c r="R13" s="273"/>
      <c r="S13" s="158"/>
    </row>
    <row r="14" spans="1:19" ht="15.6" x14ac:dyDescent="0.3">
      <c r="A14" s="849"/>
      <c r="B14" s="325">
        <f t="shared" si="0"/>
        <v>6</v>
      </c>
      <c r="C14" s="845" t="s">
        <v>668</v>
      </c>
      <c r="D14" s="844"/>
      <c r="E14" s="16">
        <v>2005</v>
      </c>
      <c r="F14" s="33"/>
      <c r="G14" s="15"/>
      <c r="H14" s="533">
        <f t="shared" si="1"/>
        <v>0</v>
      </c>
      <c r="K14" s="159"/>
      <c r="L14" s="159"/>
      <c r="M14" s="271"/>
      <c r="N14" s="272"/>
      <c r="O14" s="273"/>
      <c r="P14" s="274"/>
      <c r="Q14" s="275"/>
      <c r="R14" s="273"/>
      <c r="S14" s="158"/>
    </row>
    <row r="15" spans="1:19" ht="15.6" x14ac:dyDescent="0.3">
      <c r="A15" s="849"/>
      <c r="B15" s="325">
        <f t="shared" si="0"/>
        <v>7</v>
      </c>
      <c r="C15" s="846" t="s">
        <v>672</v>
      </c>
      <c r="D15" s="847"/>
      <c r="E15" s="16">
        <v>2031</v>
      </c>
      <c r="F15" s="364">
        <f>SUM(F10:F12)*20%</f>
        <v>0</v>
      </c>
      <c r="G15" s="713"/>
      <c r="H15" s="536">
        <f>MAX(SUM(F15)-SUM(G15),0)</f>
        <v>0</v>
      </c>
      <c r="K15" s="159"/>
      <c r="L15" s="159"/>
      <c r="M15" s="271"/>
      <c r="N15" s="272"/>
      <c r="O15" s="273"/>
      <c r="P15" s="274"/>
      <c r="Q15" s="275"/>
      <c r="R15" s="273"/>
      <c r="S15" s="158"/>
    </row>
    <row r="16" spans="1:19" ht="15.6" x14ac:dyDescent="0.3">
      <c r="A16" s="849"/>
      <c r="B16" s="325">
        <f t="shared" si="0"/>
        <v>8</v>
      </c>
      <c r="C16" s="845" t="s">
        <v>669</v>
      </c>
      <c r="D16" s="844"/>
      <c r="E16" s="16">
        <v>2032</v>
      </c>
      <c r="F16" s="33"/>
      <c r="G16" s="15"/>
      <c r="H16" s="533"/>
      <c r="K16" s="159"/>
      <c r="L16" s="159"/>
      <c r="M16" s="271"/>
      <c r="N16" s="272"/>
      <c r="O16" s="273"/>
      <c r="P16" s="274"/>
      <c r="Q16" s="275"/>
      <c r="R16" s="273"/>
      <c r="S16" s="158"/>
    </row>
    <row r="17" spans="1:19" ht="15.6" x14ac:dyDescent="0.3">
      <c r="A17" s="849"/>
      <c r="B17" s="325">
        <f t="shared" si="0"/>
        <v>9</v>
      </c>
      <c r="C17" s="845" t="s">
        <v>670</v>
      </c>
      <c r="D17" s="844"/>
      <c r="E17" s="16">
        <v>2033</v>
      </c>
      <c r="F17" s="33"/>
      <c r="G17" s="15"/>
      <c r="H17" s="533"/>
      <c r="I17" s="332"/>
      <c r="K17" s="159"/>
      <c r="L17" s="159"/>
      <c r="M17" s="271"/>
      <c r="N17" s="272"/>
      <c r="O17" s="273"/>
      <c r="P17" s="274"/>
      <c r="Q17" s="275"/>
      <c r="R17" s="273"/>
      <c r="S17" s="158"/>
    </row>
    <row r="18" spans="1:19" ht="15.6" x14ac:dyDescent="0.3">
      <c r="A18" s="849"/>
      <c r="B18" s="325">
        <f t="shared" si="0"/>
        <v>10</v>
      </c>
      <c r="C18" s="845" t="s">
        <v>671</v>
      </c>
      <c r="D18" s="844"/>
      <c r="E18" s="16">
        <v>2098</v>
      </c>
      <c r="F18" s="33"/>
      <c r="G18" s="15"/>
      <c r="H18" s="536">
        <f>F18</f>
        <v>0</v>
      </c>
      <c r="I18" s="669">
        <f>F10*4%</f>
        <v>0</v>
      </c>
      <c r="K18" s="159"/>
      <c r="L18" s="159"/>
      <c r="M18" s="271"/>
      <c r="N18" s="272"/>
      <c r="O18" s="273"/>
      <c r="P18" s="274"/>
      <c r="Q18" s="275"/>
      <c r="R18" s="273"/>
      <c r="S18" s="158"/>
    </row>
    <row r="19" spans="1:19" ht="14.4" x14ac:dyDescent="0.3">
      <c r="A19" s="534"/>
      <c r="B19" s="325">
        <f t="shared" si="0"/>
        <v>11</v>
      </c>
      <c r="C19" s="842" t="s">
        <v>390</v>
      </c>
      <c r="D19" s="842"/>
      <c r="E19" s="16">
        <v>3000</v>
      </c>
      <c r="F19" s="364">
        <f>'Annex-B'!E54</f>
        <v>0</v>
      </c>
      <c r="G19" s="364">
        <f>'Annex-B'!F54</f>
        <v>0</v>
      </c>
      <c r="H19" s="536">
        <f>+F19-G19</f>
        <v>0</v>
      </c>
      <c r="I19" s="218"/>
      <c r="M19" s="491"/>
      <c r="N19" s="268" t="s">
        <v>482</v>
      </c>
      <c r="O19" s="268" t="s">
        <v>483</v>
      </c>
      <c r="P19" s="492"/>
      <c r="Q19" s="492"/>
      <c r="R19" s="493"/>
    </row>
    <row r="20" spans="1:19" ht="13.2" x14ac:dyDescent="0.25">
      <c r="A20" s="534"/>
      <c r="B20" s="325">
        <f t="shared" si="0"/>
        <v>12</v>
      </c>
      <c r="C20" s="866" t="s">
        <v>579</v>
      </c>
      <c r="D20" s="866"/>
      <c r="E20" s="704">
        <v>4000</v>
      </c>
      <c r="F20" s="34"/>
      <c r="G20" s="20"/>
      <c r="H20" s="533">
        <f>+SUM(F20)-SUM(G20)</f>
        <v>0</v>
      </c>
      <c r="J20" s="174"/>
      <c r="M20" s="267">
        <v>1</v>
      </c>
      <c r="N20" s="269">
        <v>0</v>
      </c>
      <c r="O20" s="269">
        <v>200000</v>
      </c>
      <c r="P20" s="269">
        <v>0</v>
      </c>
      <c r="Q20" s="433">
        <v>0</v>
      </c>
      <c r="R20" s="270">
        <f>IF(AND($F$9&gt;=N20,$F$9&lt;O20),($F$9-N20)*Q20+P20,0)</f>
        <v>0</v>
      </c>
    </row>
    <row r="21" spans="1:19" ht="13.2" x14ac:dyDescent="0.25">
      <c r="A21" s="534"/>
      <c r="B21" s="325">
        <f t="shared" si="0"/>
        <v>13</v>
      </c>
      <c r="C21" s="866" t="s">
        <v>673</v>
      </c>
      <c r="D21" s="866"/>
      <c r="E21" s="704">
        <v>5000</v>
      </c>
      <c r="F21" s="34">
        <f>SUM(F22:F30)-SUM(F31:F33)</f>
        <v>0</v>
      </c>
      <c r="G21" s="20"/>
      <c r="H21" s="535">
        <f>+SUM(F21)-SUM(G21)</f>
        <v>0</v>
      </c>
      <c r="M21" s="267">
        <v>2</v>
      </c>
      <c r="N21" s="269">
        <f t="shared" ref="N21:N27" si="2">O20</f>
        <v>200000</v>
      </c>
      <c r="O21" s="269">
        <v>600000</v>
      </c>
      <c r="P21" s="269">
        <v>0</v>
      </c>
      <c r="Q21" s="378">
        <v>0.05</v>
      </c>
      <c r="R21" s="270">
        <f t="shared" ref="R21:R27" si="3">IF(AND($F$9&gt;=N21,$F$9&lt;O21),($F$9-N21)*Q21+P21,0)</f>
        <v>0</v>
      </c>
    </row>
    <row r="22" spans="1:19" ht="13.2" x14ac:dyDescent="0.25">
      <c r="A22" s="534"/>
      <c r="B22" s="326">
        <f t="shared" si="0"/>
        <v>14</v>
      </c>
      <c r="C22" s="821" t="s">
        <v>504</v>
      </c>
      <c r="D22" s="822"/>
      <c r="E22" s="304">
        <v>5029</v>
      </c>
      <c r="F22" s="361"/>
      <c r="G22" s="20"/>
      <c r="H22" s="533">
        <f>F22-G22</f>
        <v>0</v>
      </c>
      <c r="M22" s="267">
        <v>3</v>
      </c>
      <c r="N22" s="269">
        <f t="shared" si="2"/>
        <v>600000</v>
      </c>
      <c r="O22" s="269">
        <v>1000000</v>
      </c>
      <c r="P22" s="269">
        <v>20000</v>
      </c>
      <c r="Q22" s="378">
        <v>0.1</v>
      </c>
      <c r="R22" s="270">
        <f t="shared" si="3"/>
        <v>0</v>
      </c>
    </row>
    <row r="23" spans="1:19" ht="13.2" x14ac:dyDescent="0.25">
      <c r="A23" s="534"/>
      <c r="B23" s="326">
        <f t="shared" si="0"/>
        <v>15</v>
      </c>
      <c r="C23" s="883" t="s">
        <v>505</v>
      </c>
      <c r="D23" s="884"/>
      <c r="E23" s="305">
        <v>5002</v>
      </c>
      <c r="F23" s="361"/>
      <c r="G23" s="20"/>
      <c r="H23" s="533">
        <f>F23-G23</f>
        <v>0</v>
      </c>
      <c r="M23" s="267">
        <v>4</v>
      </c>
      <c r="N23" s="269">
        <f t="shared" si="2"/>
        <v>1000000</v>
      </c>
      <c r="O23" s="269">
        <v>2000000</v>
      </c>
      <c r="P23" s="269">
        <v>60000</v>
      </c>
      <c r="Q23" s="378">
        <v>0.15</v>
      </c>
      <c r="R23" s="270">
        <f t="shared" si="3"/>
        <v>0</v>
      </c>
    </row>
    <row r="24" spans="1:19" ht="13.2" x14ac:dyDescent="0.25">
      <c r="A24" s="534"/>
      <c r="B24" s="326">
        <f t="shared" si="0"/>
        <v>16</v>
      </c>
      <c r="C24" s="821" t="s">
        <v>506</v>
      </c>
      <c r="D24" s="822"/>
      <c r="E24" s="304">
        <v>5003</v>
      </c>
      <c r="F24" s="361"/>
      <c r="G24" s="20"/>
      <c r="H24" s="533">
        <f>F24-G24</f>
        <v>0</v>
      </c>
      <c r="M24" s="267">
        <v>5</v>
      </c>
      <c r="N24" s="269">
        <f t="shared" si="2"/>
        <v>2000000</v>
      </c>
      <c r="O24" s="269">
        <v>4000000</v>
      </c>
      <c r="P24" s="269">
        <v>210000</v>
      </c>
      <c r="Q24" s="378">
        <v>0.2</v>
      </c>
      <c r="R24" s="270">
        <f t="shared" si="3"/>
        <v>0</v>
      </c>
    </row>
    <row r="25" spans="1:19" ht="13.2" x14ac:dyDescent="0.25">
      <c r="A25" s="534"/>
      <c r="B25" s="326">
        <f t="shared" si="0"/>
        <v>17</v>
      </c>
      <c r="C25" s="819" t="s">
        <v>625</v>
      </c>
      <c r="D25" s="820"/>
      <c r="E25" s="304">
        <v>500312</v>
      </c>
      <c r="F25" s="361">
        <f>IF('Work Sheet'!I15&gt;5000000,'Work Sheet'!I15,0)</f>
        <v>0</v>
      </c>
      <c r="G25" s="20"/>
      <c r="H25" s="533">
        <f>F25-G25</f>
        <v>0</v>
      </c>
      <c r="M25" s="267">
        <v>6</v>
      </c>
      <c r="N25" s="269">
        <f t="shared" si="2"/>
        <v>4000000</v>
      </c>
      <c r="O25" s="269">
        <v>6000000</v>
      </c>
      <c r="P25" s="269">
        <v>610000</v>
      </c>
      <c r="Q25" s="378">
        <v>0.25</v>
      </c>
      <c r="R25" s="270">
        <f t="shared" si="3"/>
        <v>0</v>
      </c>
    </row>
    <row r="26" spans="1:19" ht="13.2" x14ac:dyDescent="0.25">
      <c r="A26" s="534"/>
      <c r="B26" s="326">
        <f t="shared" si="0"/>
        <v>18</v>
      </c>
      <c r="C26" s="821" t="s">
        <v>507</v>
      </c>
      <c r="D26" s="822"/>
      <c r="E26" s="304">
        <v>5004</v>
      </c>
      <c r="F26" s="361"/>
      <c r="G26" s="20"/>
      <c r="H26" s="533">
        <f t="shared" ref="H26:H31" si="4">F26-G26</f>
        <v>0</v>
      </c>
      <c r="M26" s="267">
        <v>7</v>
      </c>
      <c r="N26" s="269">
        <f t="shared" si="2"/>
        <v>6000000</v>
      </c>
      <c r="O26" s="269">
        <v>8000000</v>
      </c>
      <c r="P26" s="269">
        <v>1110000</v>
      </c>
      <c r="Q26" s="378">
        <v>0.3</v>
      </c>
      <c r="R26" s="270">
        <f t="shared" si="3"/>
        <v>0</v>
      </c>
    </row>
    <row r="27" spans="1:19" ht="13.2" x14ac:dyDescent="0.25">
      <c r="A27" s="534"/>
      <c r="B27" s="326">
        <f t="shared" si="0"/>
        <v>19</v>
      </c>
      <c r="C27" s="821" t="s">
        <v>508</v>
      </c>
      <c r="D27" s="822"/>
      <c r="E27" s="304">
        <v>5005</v>
      </c>
      <c r="F27" s="361"/>
      <c r="G27" s="20"/>
      <c r="H27" s="533">
        <f t="shared" si="4"/>
        <v>0</v>
      </c>
      <c r="M27" s="267">
        <v>8</v>
      </c>
      <c r="N27" s="269">
        <f t="shared" si="2"/>
        <v>8000000</v>
      </c>
      <c r="O27" s="269">
        <v>999999999999999</v>
      </c>
      <c r="P27" s="269">
        <v>1710000</v>
      </c>
      <c r="Q27" s="378">
        <v>0.35</v>
      </c>
      <c r="R27" s="270">
        <f t="shared" si="3"/>
        <v>0</v>
      </c>
    </row>
    <row r="28" spans="1:19" ht="14.4" x14ac:dyDescent="0.3">
      <c r="A28" s="534"/>
      <c r="B28" s="326">
        <f t="shared" si="0"/>
        <v>20</v>
      </c>
      <c r="C28" s="821" t="s">
        <v>509</v>
      </c>
      <c r="D28" s="822"/>
      <c r="E28" s="304">
        <v>5006</v>
      </c>
      <c r="F28" s="361"/>
      <c r="G28" s="20"/>
      <c r="H28" s="533">
        <f t="shared" si="4"/>
        <v>0</v>
      </c>
      <c r="M28" s="798" t="s">
        <v>487</v>
      </c>
      <c r="N28" s="798"/>
      <c r="O28" s="273">
        <f>+H47</f>
        <v>0</v>
      </c>
      <c r="P28" s="274"/>
      <c r="Q28" s="275" t="s">
        <v>488</v>
      </c>
      <c r="R28" s="273">
        <f>MAX(R45:R51)</f>
        <v>0</v>
      </c>
    </row>
    <row r="29" spans="1:19" ht="14.4" x14ac:dyDescent="0.3">
      <c r="A29" s="534"/>
      <c r="B29" s="326">
        <f t="shared" si="0"/>
        <v>21</v>
      </c>
      <c r="C29" s="821" t="s">
        <v>530</v>
      </c>
      <c r="D29" s="822"/>
      <c r="E29" s="304">
        <v>5007</v>
      </c>
      <c r="F29" s="361"/>
      <c r="G29" s="671">
        <f>F29</f>
        <v>0</v>
      </c>
      <c r="H29" s="533"/>
      <c r="M29" s="799" t="s">
        <v>481</v>
      </c>
      <c r="N29" s="802" t="s">
        <v>156</v>
      </c>
      <c r="O29" s="803"/>
      <c r="P29" s="808" t="s">
        <v>484</v>
      </c>
      <c r="Q29" s="808" t="s">
        <v>485</v>
      </c>
      <c r="R29" s="811" t="s">
        <v>486</v>
      </c>
    </row>
    <row r="30" spans="1:19" ht="14.4" x14ac:dyDescent="0.3">
      <c r="A30" s="534"/>
      <c r="B30" s="326">
        <f t="shared" si="0"/>
        <v>22</v>
      </c>
      <c r="C30" s="821" t="s">
        <v>457</v>
      </c>
      <c r="D30" s="822"/>
      <c r="E30" s="304">
        <v>5028</v>
      </c>
      <c r="F30" s="361"/>
      <c r="G30" s="20"/>
      <c r="H30" s="533">
        <f t="shared" si="4"/>
        <v>0</v>
      </c>
      <c r="M30" s="800"/>
      <c r="N30" s="302"/>
      <c r="O30" s="303"/>
      <c r="P30" s="809"/>
      <c r="Q30" s="809"/>
      <c r="R30" s="812"/>
    </row>
    <row r="31" spans="1:19" ht="14.4" x14ac:dyDescent="0.3">
      <c r="A31" s="534"/>
      <c r="B31" s="326">
        <f t="shared" si="0"/>
        <v>23</v>
      </c>
      <c r="C31" s="821" t="s">
        <v>510</v>
      </c>
      <c r="D31" s="822"/>
      <c r="E31" s="304">
        <v>5089</v>
      </c>
      <c r="F31" s="361"/>
      <c r="G31" s="20"/>
      <c r="H31" s="533">
        <f t="shared" si="4"/>
        <v>0</v>
      </c>
      <c r="M31" s="800"/>
      <c r="N31" s="302"/>
      <c r="O31" s="303"/>
      <c r="P31" s="809"/>
      <c r="Q31" s="809"/>
      <c r="R31" s="812"/>
    </row>
    <row r="32" spans="1:19" ht="14.4" x14ac:dyDescent="0.3">
      <c r="A32" s="534"/>
      <c r="B32" s="326">
        <f t="shared" si="0"/>
        <v>24</v>
      </c>
      <c r="C32" s="821" t="s">
        <v>123</v>
      </c>
      <c r="D32" s="822"/>
      <c r="E32" s="304">
        <v>5064</v>
      </c>
      <c r="F32" s="361"/>
      <c r="G32" s="20"/>
      <c r="H32" s="533"/>
      <c r="M32" s="800"/>
      <c r="N32" s="302"/>
      <c r="O32" s="303"/>
      <c r="P32" s="809"/>
      <c r="Q32" s="809"/>
      <c r="R32" s="812"/>
    </row>
    <row r="33" spans="1:18" ht="14.4" x14ac:dyDescent="0.3">
      <c r="A33" s="534"/>
      <c r="B33" s="326">
        <f t="shared" si="0"/>
        <v>25</v>
      </c>
      <c r="C33" s="885" t="s">
        <v>511</v>
      </c>
      <c r="D33" s="886"/>
      <c r="E33" s="304">
        <v>5088</v>
      </c>
      <c r="F33" s="361"/>
      <c r="G33" s="20"/>
      <c r="H33" s="533">
        <f>F33-G33</f>
        <v>0</v>
      </c>
      <c r="M33" s="800"/>
      <c r="N33" s="302"/>
      <c r="O33" s="303"/>
      <c r="P33" s="809"/>
      <c r="Q33" s="809"/>
      <c r="R33" s="812"/>
    </row>
    <row r="34" spans="1:18" ht="14.4" x14ac:dyDescent="0.3">
      <c r="A34" s="534"/>
      <c r="B34" s="382">
        <f t="shared" si="0"/>
        <v>26</v>
      </c>
      <c r="C34" s="880" t="s">
        <v>54</v>
      </c>
      <c r="D34" s="880"/>
      <c r="E34" s="23">
        <v>6000</v>
      </c>
      <c r="F34" s="361"/>
      <c r="G34" s="35"/>
      <c r="H34" s="533">
        <f>+SUM(F34)-SUM(G34)</f>
        <v>0</v>
      </c>
      <c r="M34" s="800"/>
      <c r="N34" s="302"/>
      <c r="O34" s="303"/>
      <c r="P34" s="809"/>
      <c r="Q34" s="809"/>
      <c r="R34" s="812"/>
    </row>
    <row r="35" spans="1:18" ht="14.4" x14ac:dyDescent="0.3">
      <c r="A35" s="534"/>
      <c r="B35" s="382">
        <f>+B34+1</f>
        <v>27</v>
      </c>
      <c r="C35" s="815" t="s">
        <v>610</v>
      </c>
      <c r="D35" s="815"/>
      <c r="E35" s="23">
        <v>6039</v>
      </c>
      <c r="F35" s="361"/>
      <c r="G35" s="35"/>
      <c r="H35" s="533"/>
      <c r="M35" s="800"/>
      <c r="N35" s="302"/>
      <c r="O35" s="303"/>
      <c r="P35" s="809"/>
      <c r="Q35" s="809"/>
      <c r="R35" s="812"/>
    </row>
    <row r="36" spans="1:18" ht="14.4" x14ac:dyDescent="0.3">
      <c r="A36" s="534"/>
      <c r="B36" s="382">
        <f>+B35+1</f>
        <v>28</v>
      </c>
      <c r="C36" s="815" t="s">
        <v>613</v>
      </c>
      <c r="D36" s="815"/>
      <c r="E36" s="23">
        <v>6029</v>
      </c>
      <c r="F36" s="361"/>
      <c r="G36" s="35"/>
      <c r="H36" s="533"/>
      <c r="I36" s="175"/>
      <c r="M36" s="800"/>
      <c r="N36" s="302"/>
      <c r="O36" s="303"/>
      <c r="P36" s="809"/>
      <c r="Q36" s="809"/>
      <c r="R36" s="812"/>
    </row>
    <row r="37" spans="1:18" s="178" customFormat="1" ht="14.4" x14ac:dyDescent="0.3">
      <c r="A37" s="534"/>
      <c r="B37" s="382">
        <f>+B36+1</f>
        <v>29</v>
      </c>
      <c r="C37" s="815" t="s">
        <v>611</v>
      </c>
      <c r="D37" s="815"/>
      <c r="E37" s="23">
        <v>6049</v>
      </c>
      <c r="F37" s="361"/>
      <c r="G37" s="35"/>
      <c r="H37" s="533"/>
      <c r="I37" s="176"/>
      <c r="J37" s="176"/>
      <c r="K37" s="177"/>
      <c r="L37" s="177"/>
      <c r="M37" s="800"/>
      <c r="N37" s="302"/>
      <c r="O37" s="303"/>
      <c r="P37" s="809"/>
      <c r="Q37" s="809"/>
      <c r="R37" s="812"/>
    </row>
    <row r="38" spans="1:18" s="178" customFormat="1" ht="14.4" x14ac:dyDescent="0.3">
      <c r="A38" s="534"/>
      <c r="B38" s="382">
        <f>+B37+1</f>
        <v>30</v>
      </c>
      <c r="C38" s="815" t="s">
        <v>612</v>
      </c>
      <c r="D38" s="815"/>
      <c r="E38" s="23">
        <v>6059</v>
      </c>
      <c r="F38" s="361"/>
      <c r="G38" s="35"/>
      <c r="H38" s="533"/>
      <c r="I38" s="176"/>
      <c r="J38" s="176"/>
      <c r="K38" s="177"/>
      <c r="L38" s="177"/>
      <c r="M38" s="800"/>
      <c r="N38" s="379"/>
      <c r="O38" s="380"/>
      <c r="P38" s="809"/>
      <c r="Q38" s="809"/>
      <c r="R38" s="812"/>
    </row>
    <row r="39" spans="1:18" ht="14.4" x14ac:dyDescent="0.3">
      <c r="A39" s="534"/>
      <c r="B39" s="382">
        <f>+B38+1</f>
        <v>31</v>
      </c>
      <c r="C39" s="881" t="s">
        <v>401</v>
      </c>
      <c r="D39" s="881"/>
      <c r="E39" s="23">
        <v>3131</v>
      </c>
      <c r="F39" s="33">
        <f>'Annex-B'!E30</f>
        <v>0</v>
      </c>
      <c r="G39" s="15"/>
      <c r="H39" s="533">
        <f>+SUM(F39)-SUM(G39)</f>
        <v>0</v>
      </c>
      <c r="M39" s="800"/>
      <c r="N39" s="323"/>
      <c r="O39" s="324"/>
      <c r="P39" s="809"/>
      <c r="Q39" s="809"/>
      <c r="R39" s="812"/>
    </row>
    <row r="40" spans="1:18" s="178" customFormat="1" ht="14.4" x14ac:dyDescent="0.3">
      <c r="A40" s="534"/>
      <c r="B40" s="326">
        <f t="shared" si="0"/>
        <v>32</v>
      </c>
      <c r="C40" s="882" t="s">
        <v>55</v>
      </c>
      <c r="D40" s="882"/>
      <c r="E40" s="16">
        <v>3141</v>
      </c>
      <c r="F40" s="364">
        <f>'Annex-B'!E31</f>
        <v>0</v>
      </c>
      <c r="G40" s="365"/>
      <c r="H40" s="536">
        <f>+SUM(F40)-SUM(G40)</f>
        <v>0</v>
      </c>
      <c r="I40" s="176"/>
      <c r="J40" s="176"/>
      <c r="K40" s="177"/>
      <c r="L40" s="177"/>
      <c r="M40" s="800"/>
      <c r="N40" s="302"/>
      <c r="O40" s="303"/>
      <c r="P40" s="809"/>
      <c r="Q40" s="809"/>
      <c r="R40" s="812"/>
    </row>
    <row r="41" spans="1:18" ht="14.4" x14ac:dyDescent="0.3">
      <c r="A41" s="534"/>
      <c r="B41" s="326">
        <f t="shared" si="0"/>
        <v>33</v>
      </c>
      <c r="C41" s="866" t="s">
        <v>56</v>
      </c>
      <c r="D41" s="866"/>
      <c r="E41" s="704">
        <v>9000</v>
      </c>
      <c r="F41" s="362">
        <f>F34+F21+F20+F19+F70+F39+F40+F9</f>
        <v>0</v>
      </c>
      <c r="G41" s="33">
        <f>G34+G21+G20+G19+G70+G39+G40</f>
        <v>0</v>
      </c>
      <c r="H41" s="535">
        <f>H34+H21+H20+H9+H19+H70+H39+H40</f>
        <v>0</v>
      </c>
      <c r="I41" s="176"/>
      <c r="J41" s="176"/>
      <c r="M41" s="800"/>
      <c r="N41" s="302"/>
      <c r="O41" s="303"/>
      <c r="P41" s="809"/>
      <c r="Q41" s="809"/>
      <c r="R41" s="812"/>
    </row>
    <row r="42" spans="1:18" ht="14.4" x14ac:dyDescent="0.3">
      <c r="A42" s="537"/>
      <c r="B42" s="190"/>
      <c r="C42" s="814"/>
      <c r="D42" s="814"/>
      <c r="E42" s="16"/>
      <c r="F42" s="708" t="s">
        <v>58</v>
      </c>
      <c r="G42" s="708" t="s">
        <v>59</v>
      </c>
      <c r="H42" s="538" t="s">
        <v>60</v>
      </c>
      <c r="I42" s="176">
        <f>IF(F41&gt;500000,H41*2%,0)</f>
        <v>0</v>
      </c>
      <c r="J42" s="176"/>
      <c r="M42" s="800"/>
      <c r="N42" s="302"/>
      <c r="O42" s="303"/>
      <c r="P42" s="809"/>
      <c r="Q42" s="809"/>
      <c r="R42" s="812"/>
    </row>
    <row r="43" spans="1:18" s="308" customFormat="1" ht="14.4" x14ac:dyDescent="0.3">
      <c r="A43" s="887" t="s">
        <v>57</v>
      </c>
      <c r="B43" s="190">
        <f>+B41+1</f>
        <v>34</v>
      </c>
      <c r="C43" s="842" t="s">
        <v>676</v>
      </c>
      <c r="D43" s="842"/>
      <c r="E43" s="704">
        <v>9009</v>
      </c>
      <c r="F43" s="364">
        <f>+F44+F45+F46</f>
        <v>0</v>
      </c>
      <c r="G43" s="364"/>
      <c r="H43" s="536">
        <f>MAX(SUM(F43)-SUM(G43),0)</f>
        <v>0</v>
      </c>
      <c r="M43" s="800"/>
      <c r="N43" s="302"/>
      <c r="O43" s="303"/>
      <c r="P43" s="809"/>
      <c r="Q43" s="809"/>
      <c r="R43" s="812"/>
    </row>
    <row r="44" spans="1:18" s="308" customFormat="1" ht="14.4" x14ac:dyDescent="0.3">
      <c r="A44" s="888"/>
      <c r="B44" s="190">
        <f t="shared" si="0"/>
        <v>35</v>
      </c>
      <c r="C44" s="814" t="s">
        <v>61</v>
      </c>
      <c r="D44" s="814"/>
      <c r="E44" s="704">
        <v>9001</v>
      </c>
      <c r="F44" s="33"/>
      <c r="G44" s="33"/>
      <c r="H44" s="533">
        <f>MAX(SUM(F44)-SUM(G44),0)</f>
        <v>0</v>
      </c>
      <c r="M44" s="801"/>
      <c r="N44" s="268" t="s">
        <v>482</v>
      </c>
      <c r="O44" s="268" t="s">
        <v>483</v>
      </c>
      <c r="P44" s="810"/>
      <c r="Q44" s="810"/>
      <c r="R44" s="813"/>
    </row>
    <row r="45" spans="1:18" ht="13.2" x14ac:dyDescent="0.25">
      <c r="A45" s="888"/>
      <c r="B45" s="190">
        <f t="shared" si="0"/>
        <v>36</v>
      </c>
      <c r="C45" s="814" t="s">
        <v>77</v>
      </c>
      <c r="D45" s="814"/>
      <c r="E45" s="43">
        <v>9002</v>
      </c>
      <c r="F45" s="33"/>
      <c r="G45" s="33"/>
      <c r="H45" s="533">
        <v>0</v>
      </c>
      <c r="M45" s="267">
        <v>1</v>
      </c>
      <c r="N45" s="269">
        <v>0</v>
      </c>
      <c r="O45" s="269">
        <v>600000</v>
      </c>
      <c r="P45" s="269">
        <v>0</v>
      </c>
      <c r="Q45" s="276">
        <v>0</v>
      </c>
      <c r="R45" s="270">
        <f>IF(AND($IN$41 &gt; N45,$IN$41&lt;=O45),$IN$41*Q45/100,0)</f>
        <v>0</v>
      </c>
    </row>
    <row r="46" spans="1:18" ht="13.2" x14ac:dyDescent="0.25">
      <c r="A46" s="888"/>
      <c r="B46" s="190">
        <f t="shared" si="0"/>
        <v>37</v>
      </c>
      <c r="C46" s="861" t="s">
        <v>578</v>
      </c>
      <c r="D46" s="862"/>
      <c r="E46" s="707">
        <v>9008</v>
      </c>
      <c r="F46" s="307"/>
      <c r="G46" s="307"/>
      <c r="H46" s="533">
        <f>IF(F46&gt;H47,(F46*10%),0)</f>
        <v>0</v>
      </c>
      <c r="I46" s="179"/>
      <c r="J46" s="180"/>
      <c r="K46" s="180"/>
      <c r="L46" s="180"/>
      <c r="M46" s="267">
        <v>2</v>
      </c>
      <c r="N46" s="269">
        <f>O45</f>
        <v>600000</v>
      </c>
      <c r="O46" s="269">
        <v>800000</v>
      </c>
      <c r="P46" s="269">
        <v>0</v>
      </c>
      <c r="Q46" s="710">
        <v>7.4999999999999997E-2</v>
      </c>
      <c r="R46" s="269">
        <f t="shared" ref="R46:R51" si="5">IF(AND($O$28 &gt; N46,$O$28&lt;=O46),(($O$28-O45)*Q46) + P46,0)</f>
        <v>0</v>
      </c>
    </row>
    <row r="47" spans="1:18" ht="13.2" x14ac:dyDescent="0.25">
      <c r="A47" s="889"/>
      <c r="B47" s="190">
        <f t="shared" si="0"/>
        <v>38</v>
      </c>
      <c r="C47" s="842" t="s">
        <v>677</v>
      </c>
      <c r="D47" s="842"/>
      <c r="E47" s="704">
        <v>9100</v>
      </c>
      <c r="F47" s="33">
        <f>+F41+F94-F43</f>
        <v>0</v>
      </c>
      <c r="G47" s="33"/>
      <c r="H47" s="533">
        <f>+H41+F94-H43-H70</f>
        <v>0</v>
      </c>
      <c r="I47" s="363" t="e">
        <f>(H49)/H47*H40</f>
        <v>#DIV/0!</v>
      </c>
      <c r="J47" s="181"/>
      <c r="K47" s="182"/>
      <c r="L47" s="182"/>
      <c r="M47" s="267">
        <v>3</v>
      </c>
      <c r="N47" s="269">
        <f t="shared" ref="N47:N51" si="6">O46</f>
        <v>800000</v>
      </c>
      <c r="O47" s="269">
        <v>1200000</v>
      </c>
      <c r="P47" s="269">
        <f>P46+(O46-O45)*Q46</f>
        <v>15000</v>
      </c>
      <c r="Q47" s="710">
        <v>0.15</v>
      </c>
      <c r="R47" s="269">
        <f t="shared" si="5"/>
        <v>0</v>
      </c>
    </row>
    <row r="48" spans="1:18" ht="13.2" x14ac:dyDescent="0.25">
      <c r="A48" s="772" t="s">
        <v>62</v>
      </c>
      <c r="B48" s="190">
        <f t="shared" si="0"/>
        <v>39</v>
      </c>
      <c r="C48" s="863" t="s">
        <v>65</v>
      </c>
      <c r="D48" s="863"/>
      <c r="E48" s="704">
        <v>9200</v>
      </c>
      <c r="F48" s="15"/>
      <c r="G48" s="35"/>
      <c r="H48" s="533">
        <f>MAX(SUM(I49),SUM(H53),SUM(H54:H60))+H92+H123+H131+H132+H161+H162+H164+H163+H165+H167+H137+H124+H125+H126+H127+H128+H150+H151+H93+H103+H152</f>
        <v>0</v>
      </c>
      <c r="I48" s="332">
        <f>MAX(SUM(I49),SUM(H53),SUM(H54:H60))+H92+H123+H131+H132+H161+H162+H164+H163+H165+H167+H137+H124+H125+H126+H127+H128+H150+H151+H93+H103</f>
        <v>0</v>
      </c>
      <c r="J48" s="332">
        <f>MAX(SUM(I49),SUM(H53),SUM(H54:H60))+H92+H123+H131+H132+H161+H162+H164+H163+H165+H167+H137+H124+H125+H126+H127+H128+H150+H151+H93+H103+H152</f>
        <v>0</v>
      </c>
      <c r="M48" s="267">
        <v>4</v>
      </c>
      <c r="N48" s="269">
        <f t="shared" si="6"/>
        <v>1200000</v>
      </c>
      <c r="O48" s="269">
        <v>2400000</v>
      </c>
      <c r="P48" s="269">
        <f t="shared" ref="P48:P51" si="7">P47+(O47-O46)*Q47</f>
        <v>75000</v>
      </c>
      <c r="Q48" s="710">
        <v>0.2</v>
      </c>
      <c r="R48" s="269">
        <f t="shared" si="5"/>
        <v>0</v>
      </c>
    </row>
    <row r="49" spans="1:18" ht="13.2" x14ac:dyDescent="0.25">
      <c r="A49" s="853"/>
      <c r="B49" s="190">
        <f t="shared" si="0"/>
        <v>40</v>
      </c>
      <c r="C49" s="866" t="s">
        <v>418</v>
      </c>
      <c r="D49" s="866"/>
      <c r="E49" s="704">
        <v>920000</v>
      </c>
      <c r="F49" s="15"/>
      <c r="G49" s="22"/>
      <c r="H49" s="533">
        <f>IF(SUM(H47)/2&lt;SUM(R2),SUM(R12),SUM(R28))</f>
        <v>0</v>
      </c>
      <c r="I49" s="332">
        <f>+H49-H50+H51</f>
        <v>0</v>
      </c>
      <c r="M49" s="267">
        <v>5</v>
      </c>
      <c r="N49" s="269">
        <f t="shared" si="6"/>
        <v>2400000</v>
      </c>
      <c r="O49" s="269">
        <v>3000000</v>
      </c>
      <c r="P49" s="269">
        <f t="shared" si="7"/>
        <v>315000</v>
      </c>
      <c r="Q49" s="710">
        <v>0.25</v>
      </c>
      <c r="R49" s="269">
        <f t="shared" si="5"/>
        <v>0</v>
      </c>
    </row>
    <row r="50" spans="1:18" ht="13.2" x14ac:dyDescent="0.25">
      <c r="A50" s="853"/>
      <c r="B50" s="190">
        <f t="shared" si="0"/>
        <v>41</v>
      </c>
      <c r="C50" s="864" t="s">
        <v>400</v>
      </c>
      <c r="D50" s="865"/>
      <c r="E50" s="704">
        <v>9329</v>
      </c>
      <c r="F50" s="15"/>
      <c r="G50" s="18"/>
      <c r="H50" s="536"/>
      <c r="M50" s="267">
        <v>6</v>
      </c>
      <c r="N50" s="269">
        <f t="shared" si="6"/>
        <v>3000000</v>
      </c>
      <c r="O50" s="269">
        <v>4000000</v>
      </c>
      <c r="P50" s="269">
        <f t="shared" si="7"/>
        <v>465000</v>
      </c>
      <c r="Q50" s="710">
        <v>0.3</v>
      </c>
      <c r="R50" s="269">
        <f t="shared" si="5"/>
        <v>0</v>
      </c>
    </row>
    <row r="51" spans="1:18" ht="13.2" x14ac:dyDescent="0.25">
      <c r="A51" s="853"/>
      <c r="B51" s="190">
        <f t="shared" si="0"/>
        <v>42</v>
      </c>
      <c r="C51" s="856" t="s">
        <v>674</v>
      </c>
      <c r="D51" s="856"/>
      <c r="E51" s="704">
        <v>923192</v>
      </c>
      <c r="F51" s="15"/>
      <c r="G51" s="36"/>
      <c r="H51" s="539">
        <f>'MINIMUM TAX '!I62</f>
        <v>0</v>
      </c>
      <c r="I51" s="171">
        <f>'Annex-E'!J5</f>
        <v>0</v>
      </c>
      <c r="M51" s="267">
        <v>7</v>
      </c>
      <c r="N51" s="269">
        <f t="shared" si="6"/>
        <v>4000000</v>
      </c>
      <c r="O51" s="269">
        <v>999999999999999</v>
      </c>
      <c r="P51" s="269">
        <f t="shared" si="7"/>
        <v>765000</v>
      </c>
      <c r="Q51" s="710">
        <v>0.35</v>
      </c>
      <c r="R51" s="269">
        <f t="shared" si="5"/>
        <v>0</v>
      </c>
    </row>
    <row r="52" spans="1:18" ht="13.2" x14ac:dyDescent="0.25">
      <c r="A52" s="853"/>
      <c r="B52" s="190">
        <f t="shared" si="0"/>
        <v>43</v>
      </c>
      <c r="C52" s="826" t="s">
        <v>678</v>
      </c>
      <c r="D52" s="826"/>
      <c r="E52" s="704">
        <v>923198</v>
      </c>
      <c r="F52" s="15"/>
      <c r="G52" s="36"/>
      <c r="H52" s="533"/>
      <c r="I52" s="332">
        <f>H49-H50+H51</f>
        <v>0</v>
      </c>
      <c r="M52" s="267">
        <v>8</v>
      </c>
      <c r="N52" s="269"/>
      <c r="O52" s="269"/>
      <c r="P52" s="269"/>
      <c r="Q52" s="710"/>
      <c r="R52" s="269"/>
    </row>
    <row r="53" spans="1:18" ht="13.2" x14ac:dyDescent="0.25">
      <c r="A53" s="853"/>
      <c r="B53" s="190">
        <f>+B52+1</f>
        <v>44</v>
      </c>
      <c r="C53" s="814" t="s">
        <v>383</v>
      </c>
      <c r="D53" s="814"/>
      <c r="E53" s="704">
        <v>923193</v>
      </c>
      <c r="F53" s="15"/>
      <c r="G53" s="36"/>
      <c r="H53" s="533">
        <f>G143+G144</f>
        <v>0</v>
      </c>
    </row>
    <row r="54" spans="1:18" ht="13.2" x14ac:dyDescent="0.25">
      <c r="A54" s="853"/>
      <c r="B54" s="190">
        <f t="shared" si="0"/>
        <v>45</v>
      </c>
      <c r="C54" s="864" t="s">
        <v>384</v>
      </c>
      <c r="D54" s="865"/>
      <c r="E54" s="704">
        <v>923194</v>
      </c>
      <c r="F54" s="15"/>
      <c r="G54" s="36"/>
      <c r="H54" s="533"/>
    </row>
    <row r="55" spans="1:18" ht="13.2" x14ac:dyDescent="0.25">
      <c r="A55" s="853"/>
      <c r="B55" s="190">
        <f>+B54+1</f>
        <v>46</v>
      </c>
      <c r="C55" s="814" t="s">
        <v>399</v>
      </c>
      <c r="D55" s="814"/>
      <c r="E55" s="704">
        <v>923152</v>
      </c>
      <c r="F55" s="17"/>
      <c r="G55" s="36"/>
      <c r="H55" s="533">
        <f>ROUND(SUM(F55)*0.25%,0)</f>
        <v>0</v>
      </c>
      <c r="M55" s="173"/>
      <c r="N55" s="173"/>
      <c r="O55" s="173"/>
      <c r="P55" s="173"/>
      <c r="Q55" s="173"/>
    </row>
    <row r="56" spans="1:18" ht="13.2" x14ac:dyDescent="0.25">
      <c r="A56" s="853"/>
      <c r="B56" s="190">
        <f t="shared" si="0"/>
        <v>47</v>
      </c>
      <c r="C56" s="814" t="s">
        <v>614</v>
      </c>
      <c r="D56" s="814"/>
      <c r="E56" s="704">
        <v>923163</v>
      </c>
      <c r="F56" s="17"/>
      <c r="G56" s="36"/>
      <c r="H56" s="533">
        <f>ROUND(SUM(F56)*0.3%,0)</f>
        <v>0</v>
      </c>
      <c r="M56" s="173"/>
      <c r="N56" s="173"/>
      <c r="O56" s="173"/>
      <c r="P56" s="173"/>
      <c r="Q56" s="173"/>
    </row>
    <row r="57" spans="1:18" ht="13.2" x14ac:dyDescent="0.25">
      <c r="A57" s="853"/>
      <c r="B57" s="190">
        <f t="shared" si="0"/>
        <v>48</v>
      </c>
      <c r="C57" s="814" t="s">
        <v>679</v>
      </c>
      <c r="D57" s="814"/>
      <c r="E57" s="704">
        <v>923206</v>
      </c>
      <c r="F57" s="17"/>
      <c r="G57" s="36"/>
      <c r="H57" s="533">
        <f>ROUND(SUM(F57)*0.5%,0)</f>
        <v>0</v>
      </c>
      <c r="M57" s="173"/>
      <c r="N57" s="173"/>
      <c r="O57" s="173"/>
      <c r="P57" s="173"/>
      <c r="Q57" s="173"/>
    </row>
    <row r="58" spans="1:18" ht="13.2" x14ac:dyDescent="0.25">
      <c r="A58" s="853"/>
      <c r="B58" s="190">
        <f t="shared" si="0"/>
        <v>49</v>
      </c>
      <c r="C58" s="814" t="s">
        <v>615</v>
      </c>
      <c r="D58" s="814"/>
      <c r="E58" s="704">
        <v>923155</v>
      </c>
      <c r="F58" s="17"/>
      <c r="G58" s="36"/>
      <c r="H58" s="533">
        <f>ROUND(SUM(F58)*0.75%,0)</f>
        <v>0</v>
      </c>
      <c r="M58" s="173"/>
      <c r="N58" s="173"/>
      <c r="O58" s="173"/>
      <c r="P58" s="173"/>
      <c r="Q58" s="173"/>
    </row>
    <row r="59" spans="1:18" ht="13.2" x14ac:dyDescent="0.25">
      <c r="A59" s="853"/>
      <c r="B59" s="190">
        <f t="shared" si="0"/>
        <v>50</v>
      </c>
      <c r="C59" s="814" t="s">
        <v>675</v>
      </c>
      <c r="D59" s="814"/>
      <c r="E59" s="704">
        <v>923161</v>
      </c>
      <c r="F59" s="17"/>
      <c r="G59" s="36"/>
      <c r="H59" s="533">
        <f>ROUND(SUM(F59)*1.25%,0)</f>
        <v>0</v>
      </c>
      <c r="M59" s="173"/>
      <c r="N59" s="173"/>
      <c r="O59" s="173"/>
      <c r="P59" s="173"/>
      <c r="Q59" s="173"/>
    </row>
    <row r="60" spans="1:18" ht="13.2" x14ac:dyDescent="0.25">
      <c r="A60" s="853"/>
      <c r="B60" s="190">
        <f t="shared" si="0"/>
        <v>51</v>
      </c>
      <c r="C60" s="814" t="s">
        <v>616</v>
      </c>
      <c r="D60" s="814"/>
      <c r="E60" s="704">
        <v>923160</v>
      </c>
      <c r="F60" s="37"/>
      <c r="G60" s="36"/>
      <c r="H60" s="533">
        <f>ROUND(SUM(F60)*1.5%,0)</f>
        <v>0</v>
      </c>
      <c r="M60" s="173"/>
      <c r="N60" s="173"/>
      <c r="O60" s="173"/>
      <c r="P60" s="173"/>
      <c r="Q60" s="173"/>
    </row>
    <row r="61" spans="1:18" ht="13.2" x14ac:dyDescent="0.25">
      <c r="A61" s="853"/>
      <c r="B61" s="325">
        <f t="shared" si="0"/>
        <v>52</v>
      </c>
      <c r="C61" s="855" t="s">
        <v>680</v>
      </c>
      <c r="D61" s="855"/>
      <c r="E61" s="19"/>
      <c r="F61" s="35"/>
      <c r="G61" s="15"/>
      <c r="H61" s="533">
        <f>+H64+H65+H71+'Annex-A'!I7+G82</f>
        <v>0</v>
      </c>
      <c r="I61" s="176"/>
      <c r="M61" s="173"/>
      <c r="N61" s="173"/>
      <c r="O61" s="173"/>
      <c r="P61" s="173"/>
      <c r="Q61" s="173"/>
    </row>
    <row r="62" spans="1:18" ht="13.2" x14ac:dyDescent="0.25">
      <c r="A62" s="853"/>
      <c r="B62" s="190">
        <f>+B61+1</f>
        <v>53</v>
      </c>
      <c r="C62" s="814" t="s">
        <v>716</v>
      </c>
      <c r="D62" s="814"/>
      <c r="E62" s="19" t="s">
        <v>717</v>
      </c>
      <c r="F62" s="35"/>
      <c r="G62" s="15"/>
      <c r="H62" s="533"/>
      <c r="I62" s="176"/>
      <c r="M62" s="173"/>
      <c r="N62" s="173"/>
      <c r="O62" s="173"/>
      <c r="P62" s="173"/>
      <c r="Q62" s="173"/>
    </row>
    <row r="63" spans="1:18" ht="13.2" x14ac:dyDescent="0.25">
      <c r="A63" s="853"/>
      <c r="B63" s="190">
        <f t="shared" ref="B63:B64" si="8">+B62+1</f>
        <v>54</v>
      </c>
      <c r="C63" s="814" t="s">
        <v>719</v>
      </c>
      <c r="D63" s="814"/>
      <c r="E63" s="19" t="s">
        <v>718</v>
      </c>
      <c r="F63" s="35"/>
      <c r="G63" s="15"/>
      <c r="H63" s="533"/>
      <c r="I63" s="176"/>
      <c r="M63" s="173"/>
      <c r="N63" s="173"/>
      <c r="O63" s="173"/>
      <c r="P63" s="173"/>
      <c r="Q63" s="173"/>
    </row>
    <row r="64" spans="1:18" ht="13.2" x14ac:dyDescent="0.25">
      <c r="A64" s="853"/>
      <c r="B64" s="190">
        <f t="shared" si="8"/>
        <v>55</v>
      </c>
      <c r="C64" s="869" t="s">
        <v>372</v>
      </c>
      <c r="D64" s="870"/>
      <c r="E64" s="53">
        <v>9202</v>
      </c>
      <c r="F64" s="35"/>
      <c r="G64" s="17">
        <v>0</v>
      </c>
      <c r="H64" s="533">
        <f>'Work Sheet'!I6</f>
        <v>0</v>
      </c>
      <c r="I64" s="176"/>
      <c r="J64" s="176"/>
      <c r="M64" s="173"/>
      <c r="N64" s="173"/>
      <c r="O64" s="173"/>
      <c r="P64" s="173"/>
      <c r="Q64" s="173"/>
    </row>
    <row r="65" spans="1:234" s="172" customFormat="1" ht="13.2" x14ac:dyDescent="0.25">
      <c r="A65" s="853"/>
      <c r="B65" s="190">
        <f t="shared" si="0"/>
        <v>56</v>
      </c>
      <c r="C65" s="869" t="s">
        <v>373</v>
      </c>
      <c r="D65" s="870"/>
      <c r="E65" s="53">
        <v>9203</v>
      </c>
      <c r="F65" s="35"/>
      <c r="G65" s="17"/>
      <c r="H65" s="533"/>
      <c r="I65" s="176"/>
      <c r="J65" s="176"/>
      <c r="M65" s="173"/>
      <c r="N65" s="173"/>
      <c r="O65" s="173"/>
      <c r="P65" s="173"/>
      <c r="Q65" s="173"/>
      <c r="HV65" s="157"/>
      <c r="HW65" s="157"/>
      <c r="HX65" s="157"/>
      <c r="HY65" s="157"/>
      <c r="HZ65" s="157"/>
    </row>
    <row r="66" spans="1:234" s="172" customFormat="1" ht="13.2" x14ac:dyDescent="0.25">
      <c r="A66" s="853"/>
      <c r="B66" s="190">
        <f t="shared" si="0"/>
        <v>57</v>
      </c>
      <c r="C66" s="857" t="s">
        <v>681</v>
      </c>
      <c r="D66" s="858"/>
      <c r="E66" s="23">
        <v>9210</v>
      </c>
      <c r="F66" s="35"/>
      <c r="G66" s="35"/>
      <c r="H66" s="533">
        <f>IF(SUM(H48)-SUM(H61)&lt;0,SUM(H48)-SUM(H61),0)</f>
        <v>0</v>
      </c>
      <c r="I66" s="176">
        <f>IF(F41&gt;500000,H41*2%,0)</f>
        <v>0</v>
      </c>
      <c r="J66" s="176"/>
      <c r="M66" s="173"/>
      <c r="N66" s="173"/>
      <c r="O66" s="173"/>
      <c r="P66" s="173"/>
      <c r="Q66" s="173"/>
      <c r="HV66" s="157"/>
      <c r="HW66" s="157"/>
      <c r="HX66" s="157"/>
      <c r="HY66" s="157"/>
      <c r="HZ66" s="157"/>
    </row>
    <row r="67" spans="1:234" s="172" customFormat="1" ht="13.2" x14ac:dyDescent="0.25">
      <c r="A67" s="853"/>
      <c r="B67" s="190">
        <f t="shared" si="0"/>
        <v>58</v>
      </c>
      <c r="C67" s="857" t="s">
        <v>682</v>
      </c>
      <c r="D67" s="858"/>
      <c r="E67" s="23">
        <v>9204</v>
      </c>
      <c r="F67" s="35"/>
      <c r="G67" s="35"/>
      <c r="H67" s="533">
        <f>IF(SUM(H48)-SUM(H61)&gt;0,SUM(H48)-SUM(H61)-SUM(H68),0)-G61-G65</f>
        <v>0</v>
      </c>
      <c r="I67" s="171"/>
      <c r="J67" s="171"/>
      <c r="M67" s="173"/>
      <c r="N67" s="173"/>
      <c r="O67" s="173"/>
      <c r="P67" s="173"/>
      <c r="Q67" s="173"/>
      <c r="HV67" s="157"/>
      <c r="HW67" s="157"/>
      <c r="HX67" s="157"/>
      <c r="HY67" s="157"/>
      <c r="HZ67" s="157"/>
    </row>
    <row r="68" spans="1:234" ht="13.2" x14ac:dyDescent="0.25">
      <c r="A68" s="853"/>
      <c r="B68" s="190">
        <f t="shared" si="0"/>
        <v>59</v>
      </c>
      <c r="C68" s="871" t="s">
        <v>683</v>
      </c>
      <c r="D68" s="872"/>
      <c r="E68" s="23">
        <v>92101</v>
      </c>
      <c r="F68" s="366"/>
      <c r="G68" s="17"/>
      <c r="H68" s="533">
        <f>F68</f>
        <v>0</v>
      </c>
      <c r="I68" s="183"/>
      <c r="M68" s="173"/>
      <c r="N68" s="173"/>
      <c r="O68" s="173"/>
      <c r="P68" s="173"/>
      <c r="Q68" s="173"/>
    </row>
    <row r="69" spans="1:234" ht="13.2" x14ac:dyDescent="0.25">
      <c r="A69" s="854"/>
      <c r="B69" s="190">
        <f t="shared" si="0"/>
        <v>60</v>
      </c>
      <c r="C69" s="867" t="s">
        <v>374</v>
      </c>
      <c r="D69" s="868"/>
      <c r="E69" s="23">
        <v>920900</v>
      </c>
      <c r="F69" s="36"/>
      <c r="G69" s="17"/>
      <c r="H69" s="533">
        <v>0</v>
      </c>
      <c r="I69" s="176"/>
      <c r="J69" s="184"/>
      <c r="M69" s="173"/>
      <c r="N69" s="173"/>
      <c r="O69" s="173"/>
      <c r="P69" s="173"/>
      <c r="Q69" s="173"/>
    </row>
    <row r="70" spans="1:234" s="172" customFormat="1" ht="13.2" x14ac:dyDescent="0.25">
      <c r="A70" s="540"/>
      <c r="B70" s="190">
        <f t="shared" si="0"/>
        <v>61</v>
      </c>
      <c r="C70" s="866" t="s">
        <v>67</v>
      </c>
      <c r="D70" s="866"/>
      <c r="E70" s="16">
        <v>6100</v>
      </c>
      <c r="F70" s="34">
        <f>+'Work Sheet'!D57</f>
        <v>0</v>
      </c>
      <c r="G70" s="35">
        <v>0</v>
      </c>
      <c r="H70" s="541">
        <f>+F70-G70</f>
        <v>0</v>
      </c>
      <c r="I70" s="176"/>
      <c r="J70" s="176"/>
      <c r="M70" s="173"/>
      <c r="N70" s="173"/>
      <c r="O70" s="173"/>
      <c r="P70" s="173"/>
      <c r="Q70" s="173"/>
    </row>
    <row r="71" spans="1:234" s="172" customFormat="1" ht="13.2" x14ac:dyDescent="0.25">
      <c r="A71" s="534"/>
      <c r="B71" s="190">
        <f t="shared" si="0"/>
        <v>62</v>
      </c>
      <c r="C71" s="814" t="s">
        <v>412</v>
      </c>
      <c r="D71" s="814"/>
      <c r="E71" s="191">
        <v>9291</v>
      </c>
      <c r="F71" s="33"/>
      <c r="G71" s="36"/>
      <c r="H71" s="542"/>
      <c r="I71" s="171"/>
      <c r="J71" s="171"/>
      <c r="M71" s="173"/>
      <c r="N71" s="173"/>
      <c r="O71" s="173"/>
      <c r="P71" s="173"/>
      <c r="Q71" s="173"/>
    </row>
    <row r="72" spans="1:234" ht="18" customHeight="1" x14ac:dyDescent="0.25">
      <c r="A72" s="876" t="s">
        <v>68</v>
      </c>
      <c r="B72" s="38" t="s">
        <v>78</v>
      </c>
      <c r="C72" s="807" t="str">
        <f>+C4</f>
        <v>MUHAMMAD RAHIL IQBAL</v>
      </c>
      <c r="D72" s="807"/>
      <c r="E72" s="739" t="s">
        <v>79</v>
      </c>
      <c r="F72" s="807" t="str">
        <f>+Fourteen</f>
        <v>-</v>
      </c>
      <c r="G72" s="807"/>
      <c r="H72" s="543" t="s">
        <v>80</v>
      </c>
      <c r="M72" s="157"/>
      <c r="N72" s="157"/>
      <c r="O72" s="157"/>
      <c r="P72" s="157"/>
      <c r="Q72" s="157"/>
    </row>
    <row r="73" spans="1:234" ht="29.25" customHeight="1" x14ac:dyDescent="0.25">
      <c r="A73" s="877"/>
      <c r="B73" s="859" t="s">
        <v>387</v>
      </c>
      <c r="C73" s="859"/>
      <c r="D73" s="859"/>
      <c r="E73" s="859"/>
      <c r="F73" s="859"/>
      <c r="G73" s="859"/>
      <c r="H73" s="860"/>
      <c r="I73" s="184"/>
      <c r="J73" s="184"/>
      <c r="K73" s="185"/>
      <c r="L73" s="185"/>
      <c r="M73" s="157"/>
      <c r="N73" s="157"/>
      <c r="O73" s="157"/>
      <c r="P73" s="157"/>
      <c r="Q73" s="157"/>
    </row>
    <row r="74" spans="1:234" s="185" customFormat="1" ht="13.2" x14ac:dyDescent="0.25">
      <c r="A74" s="878"/>
      <c r="B74" s="40"/>
      <c r="C74" s="41"/>
      <c r="D74" s="41"/>
      <c r="E74" s="42"/>
      <c r="F74" s="39"/>
      <c r="G74" s="39" t="s">
        <v>71</v>
      </c>
      <c r="H74" s="544"/>
      <c r="I74" s="171"/>
      <c r="J74" s="171"/>
      <c r="K74" s="172"/>
      <c r="L74" s="172"/>
    </row>
    <row r="75" spans="1:234" ht="24.75" customHeight="1" thickBot="1" x14ac:dyDescent="0.35">
      <c r="A75" s="720" t="s">
        <v>70</v>
      </c>
      <c r="B75" s="717"/>
      <c r="C75" s="717"/>
      <c r="D75" s="714"/>
      <c r="E75" s="714"/>
      <c r="F75" s="714"/>
      <c r="G75" s="714"/>
      <c r="H75" s="715"/>
      <c r="M75" s="157"/>
      <c r="N75" s="157"/>
      <c r="O75" s="157"/>
      <c r="P75" s="157"/>
      <c r="Q75" s="157"/>
    </row>
    <row r="76" spans="1:234" ht="13.2" x14ac:dyDescent="0.25">
      <c r="A76" s="816" t="s">
        <v>72</v>
      </c>
      <c r="B76" s="816"/>
      <c r="C76" s="816"/>
      <c r="D76" s="816"/>
      <c r="E76" s="816"/>
      <c r="F76" s="816"/>
      <c r="G76" s="816"/>
      <c r="H76" s="719" t="s">
        <v>81</v>
      </c>
      <c r="M76" s="157"/>
      <c r="N76" s="157"/>
      <c r="O76" s="157"/>
      <c r="P76" s="157"/>
      <c r="Q76" s="157"/>
    </row>
    <row r="77" spans="1:234" s="329" customFormat="1" ht="18.75" customHeight="1" x14ac:dyDescent="0.25">
      <c r="A77" s="823" t="s">
        <v>82</v>
      </c>
      <c r="B77" s="823"/>
      <c r="C77" s="823"/>
      <c r="D77" s="823"/>
      <c r="E77" s="823"/>
      <c r="F77" s="823"/>
      <c r="G77" s="823"/>
      <c r="H77" s="823"/>
      <c r="I77" s="327"/>
      <c r="J77" s="327"/>
      <c r="K77" s="328"/>
      <c r="L77" s="328"/>
    </row>
    <row r="78" spans="1:234" s="329" customFormat="1" ht="18.75" customHeight="1" x14ac:dyDescent="0.25">
      <c r="A78" s="824" t="s">
        <v>37</v>
      </c>
      <c r="B78" s="824"/>
      <c r="C78" s="768" t="str">
        <f>IF('IND (BUS PLUS)'!C4="","",'IND (BUS PLUS)'!C4)</f>
        <v>MUHAMMAD RAHIL IQBAL</v>
      </c>
      <c r="D78" s="768"/>
      <c r="E78" s="495"/>
      <c r="F78" s="495"/>
      <c r="G78" s="495" t="s">
        <v>38</v>
      </c>
      <c r="H78" s="510" t="str">
        <f>PROFILE!AU7</f>
        <v>2024</v>
      </c>
      <c r="I78" s="171"/>
      <c r="J78" s="171"/>
      <c r="K78" s="172"/>
      <c r="L78" s="172"/>
    </row>
    <row r="79" spans="1:234" ht="18.75" customHeight="1" x14ac:dyDescent="0.25">
      <c r="A79" s="824" t="s">
        <v>39</v>
      </c>
      <c r="B79" s="824"/>
      <c r="C79" s="768" t="str">
        <f>IF('IND (BUS PLUS)'!C5="","",'IND (BUS PLUS)'!C5)</f>
        <v>-</v>
      </c>
      <c r="D79" s="768"/>
      <c r="E79" s="495"/>
      <c r="F79" s="495"/>
      <c r="G79" s="495" t="s">
        <v>40</v>
      </c>
      <c r="H79" s="511" t="str">
        <f>+H5</f>
        <v>-</v>
      </c>
      <c r="J79" s="184"/>
      <c r="M79" s="157"/>
      <c r="N79" s="157"/>
      <c r="O79" s="157"/>
      <c r="P79" s="157"/>
      <c r="Q79" s="157"/>
    </row>
    <row r="80" spans="1:234" x14ac:dyDescent="0.25">
      <c r="A80" s="716"/>
      <c r="B80" s="348" t="s">
        <v>42</v>
      </c>
      <c r="C80" s="827" t="s">
        <v>43</v>
      </c>
      <c r="D80" s="827"/>
      <c r="E80" s="349" t="s">
        <v>44</v>
      </c>
      <c r="F80" s="351" t="s">
        <v>83</v>
      </c>
      <c r="G80" s="352" t="s">
        <v>64</v>
      </c>
      <c r="H80" s="513" t="s">
        <v>65</v>
      </c>
      <c r="J80" s="184"/>
      <c r="M80" s="157"/>
      <c r="N80" s="157"/>
      <c r="O80" s="157"/>
      <c r="P80" s="157"/>
      <c r="Q80" s="157"/>
    </row>
    <row r="81" spans="1:17" ht="13.2" x14ac:dyDescent="0.25">
      <c r="A81" s="512"/>
      <c r="B81" s="44"/>
      <c r="C81" s="825"/>
      <c r="D81" s="825"/>
      <c r="E81" s="43"/>
      <c r="F81" s="353" t="s">
        <v>47</v>
      </c>
      <c r="G81" s="354" t="s">
        <v>48</v>
      </c>
      <c r="H81" s="515" t="s">
        <v>49</v>
      </c>
      <c r="J81" s="184"/>
      <c r="K81" s="171"/>
      <c r="M81" s="157"/>
      <c r="N81" s="157"/>
      <c r="O81" s="157"/>
      <c r="P81" s="157"/>
      <c r="Q81" s="157"/>
    </row>
    <row r="82" spans="1:17" ht="11.25" customHeight="1" x14ac:dyDescent="0.25">
      <c r="A82" s="514"/>
      <c r="B82" s="718">
        <v>62</v>
      </c>
      <c r="C82" s="769" t="s">
        <v>684</v>
      </c>
      <c r="D82" s="769"/>
      <c r="E82" s="343">
        <v>640001</v>
      </c>
      <c r="F82" s="476">
        <f>+SUM(F83:F173)</f>
        <v>0</v>
      </c>
      <c r="G82" s="476">
        <f>+SUM(G83:G173)</f>
        <v>0</v>
      </c>
      <c r="H82" s="516">
        <f>+SUM(H83:H173)-SUM(H152)</f>
        <v>0</v>
      </c>
      <c r="K82" s="171"/>
      <c r="M82" s="157"/>
      <c r="N82" s="157"/>
      <c r="O82" s="157"/>
      <c r="P82" s="157"/>
      <c r="Q82" s="157"/>
    </row>
    <row r="83" spans="1:17" ht="11.25" customHeight="1" x14ac:dyDescent="0.25">
      <c r="A83" s="772" t="s">
        <v>66</v>
      </c>
      <c r="B83" s="342">
        <f>+B82+1</f>
        <v>63</v>
      </c>
      <c r="C83" s="767" t="s">
        <v>84</v>
      </c>
      <c r="D83" s="767"/>
      <c r="E83" s="343">
        <v>64010052</v>
      </c>
      <c r="F83" s="350"/>
      <c r="G83" s="297"/>
      <c r="H83" s="517">
        <f>+F83*1%</f>
        <v>0</v>
      </c>
      <c r="K83" s="171"/>
      <c r="M83" s="157"/>
      <c r="N83" s="157"/>
      <c r="O83" s="157"/>
      <c r="P83" s="157"/>
      <c r="Q83" s="157"/>
    </row>
    <row r="84" spans="1:17" ht="11.25" customHeight="1" x14ac:dyDescent="0.25">
      <c r="A84" s="772"/>
      <c r="B84" s="342">
        <f>+B83+1</f>
        <v>64</v>
      </c>
      <c r="C84" s="767" t="s">
        <v>85</v>
      </c>
      <c r="D84" s="767"/>
      <c r="E84" s="343">
        <v>64010054</v>
      </c>
      <c r="F84" s="350"/>
      <c r="G84" s="297"/>
      <c r="H84" s="517">
        <f>+F84*2%</f>
        <v>0</v>
      </c>
      <c r="K84" s="171"/>
      <c r="M84" s="157"/>
      <c r="N84" s="157"/>
      <c r="O84" s="157"/>
      <c r="P84" s="157"/>
      <c r="Q84" s="157"/>
    </row>
    <row r="85" spans="1:17" ht="11.25" customHeight="1" x14ac:dyDescent="0.25">
      <c r="A85" s="772"/>
      <c r="B85" s="342">
        <f t="shared" ref="B85:B171" si="9">+B84+1</f>
        <v>65</v>
      </c>
      <c r="C85" s="767" t="s">
        <v>86</v>
      </c>
      <c r="D85" s="767"/>
      <c r="E85" s="343">
        <v>64010056</v>
      </c>
      <c r="F85" s="350"/>
      <c r="G85" s="297"/>
      <c r="H85" s="517">
        <f>+F85*3%</f>
        <v>0</v>
      </c>
      <c r="K85" s="171"/>
      <c r="M85" s="157"/>
      <c r="N85" s="157"/>
      <c r="O85" s="157"/>
      <c r="P85" s="157"/>
      <c r="Q85" s="157"/>
    </row>
    <row r="86" spans="1:17" ht="11.25" customHeight="1" x14ac:dyDescent="0.25">
      <c r="A86" s="772"/>
      <c r="B86" s="342">
        <f t="shared" si="9"/>
        <v>66</v>
      </c>
      <c r="C86" s="767" t="s">
        <v>720</v>
      </c>
      <c r="D86" s="767"/>
      <c r="E86" s="343">
        <v>64010084</v>
      </c>
      <c r="F86" s="350"/>
      <c r="G86" s="297"/>
      <c r="H86" s="517">
        <f>+F86*3.5%</f>
        <v>0</v>
      </c>
      <c r="K86" s="171"/>
      <c r="M86" s="157"/>
      <c r="N86" s="157"/>
      <c r="O86" s="157"/>
      <c r="P86" s="157"/>
      <c r="Q86" s="157"/>
    </row>
    <row r="87" spans="1:17" ht="11.25" customHeight="1" x14ac:dyDescent="0.25">
      <c r="A87" s="772"/>
      <c r="B87" s="342">
        <f t="shared" si="9"/>
        <v>67</v>
      </c>
      <c r="C87" s="767" t="s">
        <v>594</v>
      </c>
      <c r="D87" s="767"/>
      <c r="E87" s="343">
        <v>64010058</v>
      </c>
      <c r="F87" s="350"/>
      <c r="G87" s="297"/>
      <c r="H87" s="517">
        <f>+F87*4%</f>
        <v>0</v>
      </c>
      <c r="I87" s="188"/>
      <c r="J87" s="188"/>
      <c r="K87" s="188"/>
      <c r="L87" s="188"/>
      <c r="M87" s="157"/>
      <c r="N87" s="157"/>
      <c r="O87" s="157"/>
      <c r="P87" s="157"/>
      <c r="Q87" s="157"/>
    </row>
    <row r="88" spans="1:17" s="189" customFormat="1" ht="11.25" customHeight="1" x14ac:dyDescent="0.25">
      <c r="A88" s="772"/>
      <c r="B88" s="342">
        <f t="shared" si="9"/>
        <v>68</v>
      </c>
      <c r="C88" s="767" t="s">
        <v>397</v>
      </c>
      <c r="D88" s="767"/>
      <c r="E88" s="343">
        <v>64010161</v>
      </c>
      <c r="F88" s="350"/>
      <c r="G88" s="297"/>
      <c r="H88" s="517">
        <f>+F88*5.5%</f>
        <v>0</v>
      </c>
      <c r="I88" s="171"/>
      <c r="J88" s="171"/>
      <c r="K88" s="171"/>
      <c r="L88" s="172"/>
    </row>
    <row r="89" spans="1:17" ht="11.25" customHeight="1" x14ac:dyDescent="0.25">
      <c r="A89" s="772"/>
      <c r="B89" s="342">
        <f t="shared" si="9"/>
        <v>69</v>
      </c>
      <c r="C89" s="767" t="s">
        <v>220</v>
      </c>
      <c r="D89" s="767"/>
      <c r="E89" s="344">
        <v>64010181</v>
      </c>
      <c r="F89" s="350"/>
      <c r="G89" s="297"/>
      <c r="H89" s="517">
        <f>+F89*5.5%</f>
        <v>0</v>
      </c>
      <c r="K89" s="171"/>
      <c r="M89" s="157"/>
      <c r="N89" s="157"/>
      <c r="O89" s="157"/>
      <c r="P89" s="157"/>
      <c r="Q89" s="157"/>
    </row>
    <row r="90" spans="1:17" ht="11.25" customHeight="1" x14ac:dyDescent="0.25">
      <c r="A90" s="772"/>
      <c r="B90" s="342">
        <f>+B89+1</f>
        <v>70</v>
      </c>
      <c r="C90" s="767" t="s">
        <v>597</v>
      </c>
      <c r="D90" s="767"/>
      <c r="E90" s="344">
        <v>64120045</v>
      </c>
      <c r="F90" s="350"/>
      <c r="G90" s="297"/>
      <c r="H90" s="517"/>
      <c r="I90" s="188"/>
      <c r="J90" s="188"/>
      <c r="K90" s="188"/>
      <c r="L90" s="188"/>
      <c r="M90" s="157"/>
      <c r="N90" s="157"/>
      <c r="O90" s="157"/>
      <c r="P90" s="157"/>
      <c r="Q90" s="157"/>
    </row>
    <row r="91" spans="1:17" ht="11.25" customHeight="1" x14ac:dyDescent="0.25">
      <c r="A91" s="772"/>
      <c r="B91" s="342">
        <f>+B90+1</f>
        <v>71</v>
      </c>
      <c r="C91" s="767" t="s">
        <v>735</v>
      </c>
      <c r="D91" s="767"/>
      <c r="E91" s="344">
        <v>64010062</v>
      </c>
      <c r="F91" s="350"/>
      <c r="G91" s="297"/>
      <c r="H91" s="517">
        <f>+F91*6%</f>
        <v>0</v>
      </c>
      <c r="I91" s="188"/>
      <c r="J91" s="188"/>
      <c r="K91" s="188"/>
      <c r="L91" s="188"/>
      <c r="M91" s="157"/>
      <c r="N91" s="157"/>
      <c r="O91" s="157"/>
      <c r="P91" s="157"/>
      <c r="Q91" s="157"/>
    </row>
    <row r="92" spans="1:17" s="189" customFormat="1" ht="11.25" customHeight="1" x14ac:dyDescent="0.25">
      <c r="A92" s="772"/>
      <c r="B92" s="342">
        <f>+B91+1</f>
        <v>72</v>
      </c>
      <c r="C92" s="795" t="s">
        <v>450</v>
      </c>
      <c r="D92" s="795"/>
      <c r="E92" s="344">
        <v>64030052</v>
      </c>
      <c r="F92" s="350"/>
      <c r="G92" s="297"/>
      <c r="H92" s="517">
        <f>+F92*7.5%</f>
        <v>0</v>
      </c>
      <c r="I92" s="188"/>
      <c r="J92" s="188"/>
      <c r="K92" s="188"/>
      <c r="L92" s="188"/>
    </row>
    <row r="93" spans="1:17" s="189" customFormat="1" ht="11.25" customHeight="1" x14ac:dyDescent="0.25">
      <c r="A93" s="772"/>
      <c r="B93" s="342">
        <f>+B92+1</f>
        <v>73</v>
      </c>
      <c r="C93" s="795" t="s">
        <v>577</v>
      </c>
      <c r="D93" s="795"/>
      <c r="E93" s="344">
        <v>64030055</v>
      </c>
      <c r="F93" s="350"/>
      <c r="G93" s="297"/>
      <c r="H93" s="517">
        <f>+F93*15%</f>
        <v>0</v>
      </c>
      <c r="I93" s="171"/>
      <c r="J93" s="171"/>
      <c r="K93" s="171"/>
      <c r="L93" s="172"/>
    </row>
    <row r="94" spans="1:17" ht="11.25" customHeight="1" x14ac:dyDescent="0.25">
      <c r="A94" s="772"/>
      <c r="B94" s="342">
        <f t="shared" si="9"/>
        <v>74</v>
      </c>
      <c r="C94" s="784" t="s">
        <v>595</v>
      </c>
      <c r="D94" s="785"/>
      <c r="E94" s="344">
        <v>64030071</v>
      </c>
      <c r="F94" s="350"/>
      <c r="G94" s="476"/>
      <c r="H94" s="517">
        <f>IF(J94&gt;=I94,F94*5%,J94)</f>
        <v>0</v>
      </c>
      <c r="I94" s="487">
        <f>F94*5%</f>
        <v>0</v>
      </c>
      <c r="J94" s="487">
        <f>IF(AND(F94&lt;=800000,F94&gt;600000),((F94-600000)*7.5%),0)+IF(AND(F94&lt;=1200000,F94&gt;800000),((F94-800000)*15%+15000),0)+IF(AND(F94&lt;=2400000,F94&gt;1200000),((F94-1200000)*20%+75000),0)+IF(AND(F94&lt;=3000000,F94&gt;2400000),((F94-2400000)*25%+315000),0)+IF(AND(F94&lt;=4000000,F94&gt;3000000),((F94-3000000)*30%+465000),0)+IF(AND(F94&gt;4000000),((F94-4000000)*35%+765000),0)</f>
        <v>0</v>
      </c>
      <c r="K94" s="171"/>
      <c r="M94" s="157"/>
      <c r="N94" s="157"/>
      <c r="O94" s="157"/>
      <c r="P94" s="157"/>
      <c r="Q94" s="157"/>
    </row>
    <row r="95" spans="1:17" ht="11.25" customHeight="1" x14ac:dyDescent="0.25">
      <c r="A95" s="772"/>
      <c r="B95" s="342">
        <f>+B94+1</f>
        <v>75</v>
      </c>
      <c r="C95" s="784" t="s">
        <v>583</v>
      </c>
      <c r="D95" s="785"/>
      <c r="E95" s="344">
        <v>64030098</v>
      </c>
      <c r="F95" s="350"/>
      <c r="G95" s="297"/>
      <c r="H95" s="518">
        <f>IF(F95&lt;=1000000,(F95)*0.1,IF(F95&gt;1000000,(F95-1000000)*0.126667+125000))</f>
        <v>0</v>
      </c>
      <c r="I95" s="171">
        <f>IF(AND(F95&gt;J95)*12.5%,(F95&lt;=J95)*10%,0)</f>
        <v>0</v>
      </c>
      <c r="J95" s="389"/>
      <c r="K95" s="171"/>
      <c r="M95" s="157"/>
      <c r="N95" s="157"/>
      <c r="O95" s="157"/>
      <c r="P95" s="157"/>
      <c r="Q95" s="157"/>
    </row>
    <row r="96" spans="1:17" ht="11.25" customHeight="1" x14ac:dyDescent="0.25">
      <c r="A96" s="772"/>
      <c r="B96" s="342">
        <f t="shared" si="9"/>
        <v>76</v>
      </c>
      <c r="C96" s="767" t="s">
        <v>345</v>
      </c>
      <c r="D96" s="767"/>
      <c r="E96" s="344">
        <v>64030099</v>
      </c>
      <c r="F96" s="350"/>
      <c r="G96" s="297"/>
      <c r="H96" s="517"/>
      <c r="K96" s="171"/>
      <c r="M96" s="157"/>
      <c r="N96" s="157"/>
      <c r="O96" s="157"/>
      <c r="P96" s="157"/>
      <c r="Q96" s="157"/>
    </row>
    <row r="97" spans="1:17" ht="11.25" customHeight="1" x14ac:dyDescent="0.25">
      <c r="A97" s="772"/>
      <c r="B97" s="342">
        <f t="shared" si="9"/>
        <v>77</v>
      </c>
      <c r="C97" s="804" t="s">
        <v>432</v>
      </c>
      <c r="D97" s="805"/>
      <c r="E97" s="344">
        <v>64050051</v>
      </c>
      <c r="F97" s="350"/>
      <c r="G97" s="297"/>
      <c r="H97" s="517"/>
      <c r="K97" s="171"/>
      <c r="M97" s="157"/>
      <c r="N97" s="157"/>
      <c r="O97" s="157"/>
      <c r="P97" s="157"/>
      <c r="Q97" s="157"/>
    </row>
    <row r="98" spans="1:17" ht="11.25" customHeight="1" x14ac:dyDescent="0.25">
      <c r="A98" s="772"/>
      <c r="B98" s="342">
        <f t="shared" si="9"/>
        <v>78</v>
      </c>
      <c r="C98" s="770" t="s">
        <v>433</v>
      </c>
      <c r="D98" s="770"/>
      <c r="E98" s="344">
        <v>64050052</v>
      </c>
      <c r="F98" s="350"/>
      <c r="G98" s="297"/>
      <c r="H98" s="517">
        <f>+F98*7%</f>
        <v>0</v>
      </c>
      <c r="K98" s="171"/>
      <c r="M98" s="157"/>
      <c r="N98" s="157"/>
      <c r="O98" s="157"/>
      <c r="P98" s="157"/>
      <c r="Q98" s="157"/>
    </row>
    <row r="99" spans="1:17" ht="13.2" x14ac:dyDescent="0.25">
      <c r="A99" s="772"/>
      <c r="B99" s="342">
        <f t="shared" si="9"/>
        <v>79</v>
      </c>
      <c r="C99" s="767" t="s">
        <v>434</v>
      </c>
      <c r="D99" s="767"/>
      <c r="E99" s="344">
        <v>64050053</v>
      </c>
      <c r="F99" s="350"/>
      <c r="G99" s="297"/>
      <c r="H99" s="517"/>
      <c r="K99" s="171"/>
      <c r="M99" s="157"/>
      <c r="N99" s="157"/>
      <c r="O99" s="157"/>
      <c r="P99" s="157"/>
      <c r="Q99" s="157"/>
    </row>
    <row r="100" spans="1:17" ht="11.25" customHeight="1" x14ac:dyDescent="0.25">
      <c r="A100" s="772"/>
      <c r="B100" s="342">
        <f t="shared" si="9"/>
        <v>80</v>
      </c>
      <c r="C100" s="767" t="s">
        <v>435</v>
      </c>
      <c r="D100" s="767"/>
      <c r="E100" s="344">
        <v>64050054</v>
      </c>
      <c r="F100" s="350"/>
      <c r="G100" s="297"/>
      <c r="H100" s="517"/>
      <c r="K100" s="171"/>
      <c r="M100" s="157"/>
      <c r="N100" s="157"/>
      <c r="O100" s="157"/>
      <c r="P100" s="157"/>
      <c r="Q100" s="157"/>
    </row>
    <row r="101" spans="1:17" ht="11.25" customHeight="1" x14ac:dyDescent="0.25">
      <c r="A101" s="772"/>
      <c r="B101" s="342">
        <f t="shared" si="9"/>
        <v>81</v>
      </c>
      <c r="C101" s="767" t="s">
        <v>436</v>
      </c>
      <c r="D101" s="767"/>
      <c r="E101" s="344">
        <v>64050055</v>
      </c>
      <c r="F101" s="350"/>
      <c r="G101" s="297"/>
      <c r="H101" s="517"/>
      <c r="K101" s="171"/>
      <c r="M101" s="157"/>
      <c r="N101" s="157"/>
      <c r="O101" s="157"/>
      <c r="P101" s="157"/>
      <c r="Q101" s="157"/>
    </row>
    <row r="102" spans="1:17" ht="11.25" customHeight="1" x14ac:dyDescent="0.25">
      <c r="A102" s="772"/>
      <c r="B102" s="342">
        <f t="shared" si="9"/>
        <v>82</v>
      </c>
      <c r="C102" s="767" t="s">
        <v>437</v>
      </c>
      <c r="D102" s="767"/>
      <c r="E102" s="344">
        <v>64050056</v>
      </c>
      <c r="F102" s="350"/>
      <c r="G102" s="297"/>
      <c r="H102" s="517"/>
      <c r="K102" s="171"/>
      <c r="M102" s="157"/>
      <c r="N102" s="157"/>
      <c r="O102" s="157"/>
      <c r="P102" s="157"/>
      <c r="Q102" s="157"/>
    </row>
    <row r="103" spans="1:17" ht="11.25" customHeight="1" x14ac:dyDescent="0.25">
      <c r="A103" s="772"/>
      <c r="B103" s="342">
        <f t="shared" si="9"/>
        <v>83</v>
      </c>
      <c r="C103" s="767" t="s">
        <v>438</v>
      </c>
      <c r="D103" s="767"/>
      <c r="E103" s="344">
        <v>64050096</v>
      </c>
      <c r="F103" s="350"/>
      <c r="G103" s="297"/>
      <c r="H103" s="517">
        <f>+F103*10%</f>
        <v>0</v>
      </c>
      <c r="K103" s="171"/>
      <c r="L103" s="171"/>
      <c r="M103" s="171"/>
      <c r="N103" s="171"/>
      <c r="O103" s="171"/>
      <c r="P103" s="171"/>
      <c r="Q103" s="157"/>
    </row>
    <row r="104" spans="1:17" ht="11.25" customHeight="1" x14ac:dyDescent="0.25">
      <c r="A104" s="772"/>
      <c r="B104" s="342">
        <f t="shared" si="9"/>
        <v>84</v>
      </c>
      <c r="C104" s="767" t="s">
        <v>346</v>
      </c>
      <c r="D104" s="767"/>
      <c r="E104" s="344">
        <v>64050097</v>
      </c>
      <c r="F104" s="350"/>
      <c r="G104" s="297"/>
      <c r="H104" s="517"/>
      <c r="K104" s="171"/>
      <c r="L104" s="171"/>
      <c r="M104" s="171"/>
      <c r="N104" s="171"/>
      <c r="O104" s="171"/>
      <c r="P104" s="171"/>
      <c r="Q104" s="157"/>
    </row>
    <row r="105" spans="1:17" ht="11.25" customHeight="1" x14ac:dyDescent="0.25">
      <c r="A105" s="772"/>
      <c r="B105" s="342">
        <f t="shared" si="9"/>
        <v>85</v>
      </c>
      <c r="C105" s="767" t="s">
        <v>439</v>
      </c>
      <c r="D105" s="767"/>
      <c r="E105" s="344">
        <v>64050098</v>
      </c>
      <c r="F105" s="350"/>
      <c r="G105" s="297"/>
      <c r="H105" s="517"/>
      <c r="K105" s="171"/>
      <c r="L105" s="171"/>
      <c r="M105" s="171"/>
      <c r="N105" s="171"/>
      <c r="O105" s="171"/>
      <c r="P105" s="171"/>
      <c r="Q105" s="157"/>
    </row>
    <row r="106" spans="1:17" ht="11.25" customHeight="1" x14ac:dyDescent="0.25">
      <c r="A106" s="772"/>
      <c r="B106" s="342">
        <f t="shared" si="9"/>
        <v>86</v>
      </c>
      <c r="C106" s="784" t="s">
        <v>531</v>
      </c>
      <c r="D106" s="785"/>
      <c r="E106" s="344">
        <v>64050100</v>
      </c>
      <c r="F106" s="350"/>
      <c r="G106" s="297"/>
      <c r="H106" s="517"/>
      <c r="K106" s="171"/>
      <c r="M106" s="157"/>
      <c r="N106" s="157"/>
      <c r="O106" s="157"/>
      <c r="P106" s="157"/>
      <c r="Q106" s="157"/>
    </row>
    <row r="107" spans="1:17" ht="11.25" customHeight="1" x14ac:dyDescent="0.25">
      <c r="A107" s="772"/>
      <c r="B107" s="342">
        <f t="shared" si="9"/>
        <v>87</v>
      </c>
      <c r="C107" s="784" t="s">
        <v>599</v>
      </c>
      <c r="D107" s="785"/>
      <c r="E107" s="344">
        <v>64050094</v>
      </c>
      <c r="F107" s="350"/>
      <c r="G107" s="297"/>
      <c r="H107" s="517">
        <f>+F107*2%</f>
        <v>0</v>
      </c>
      <c r="K107" s="171"/>
      <c r="M107" s="157"/>
      <c r="N107" s="157"/>
      <c r="O107" s="157"/>
      <c r="P107" s="157"/>
      <c r="Q107" s="157"/>
    </row>
    <row r="108" spans="1:17" ht="11.25" customHeight="1" x14ac:dyDescent="0.25">
      <c r="A108" s="772"/>
      <c r="B108" s="342">
        <f t="shared" si="9"/>
        <v>88</v>
      </c>
      <c r="C108" s="784" t="s">
        <v>598</v>
      </c>
      <c r="D108" s="785"/>
      <c r="E108" s="344">
        <v>64050095</v>
      </c>
      <c r="F108" s="350"/>
      <c r="G108" s="297"/>
      <c r="H108" s="517">
        <f>+F108*10%</f>
        <v>0</v>
      </c>
      <c r="K108" s="171"/>
      <c r="M108" s="157"/>
      <c r="N108" s="157"/>
      <c r="O108" s="157"/>
      <c r="P108" s="157"/>
      <c r="Q108" s="157"/>
    </row>
    <row r="109" spans="1:17" ht="11.25" customHeight="1" x14ac:dyDescent="0.25">
      <c r="A109" s="772"/>
      <c r="B109" s="342">
        <f>+B108+1</f>
        <v>89</v>
      </c>
      <c r="C109" s="784" t="s">
        <v>685</v>
      </c>
      <c r="D109" s="785"/>
      <c r="E109" s="344">
        <v>64050057</v>
      </c>
      <c r="F109" s="350"/>
      <c r="G109" s="297"/>
      <c r="H109" s="517">
        <f>+F109*5%</f>
        <v>0</v>
      </c>
      <c r="K109" s="171"/>
      <c r="M109" s="157"/>
      <c r="N109" s="157"/>
      <c r="O109" s="157"/>
      <c r="P109" s="157"/>
      <c r="Q109" s="157"/>
    </row>
    <row r="110" spans="1:17" ht="11.25" customHeight="1" x14ac:dyDescent="0.25">
      <c r="A110" s="772"/>
      <c r="B110" s="342">
        <f t="shared" si="9"/>
        <v>90</v>
      </c>
      <c r="C110" s="767" t="s">
        <v>89</v>
      </c>
      <c r="D110" s="767"/>
      <c r="E110" s="344">
        <v>64060052</v>
      </c>
      <c r="F110" s="350"/>
      <c r="G110" s="297"/>
      <c r="H110" s="517">
        <f>+F110*1%</f>
        <v>0</v>
      </c>
      <c r="K110" s="171"/>
      <c r="M110" s="157"/>
      <c r="N110" s="157"/>
      <c r="O110" s="157"/>
      <c r="P110" s="157"/>
      <c r="Q110" s="157"/>
    </row>
    <row r="111" spans="1:17" ht="11.25" customHeight="1" x14ac:dyDescent="0.25">
      <c r="A111" s="772"/>
      <c r="B111" s="342">
        <f t="shared" si="9"/>
        <v>91</v>
      </c>
      <c r="C111" s="767" t="s">
        <v>90</v>
      </c>
      <c r="D111" s="767"/>
      <c r="E111" s="344">
        <v>64060053</v>
      </c>
      <c r="F111" s="350"/>
      <c r="G111" s="297"/>
      <c r="H111" s="517">
        <f>+F111*1.5%</f>
        <v>0</v>
      </c>
      <c r="K111" s="171"/>
      <c r="M111" s="157"/>
      <c r="N111" s="157"/>
      <c r="O111" s="157"/>
      <c r="P111" s="157"/>
      <c r="Q111" s="157"/>
    </row>
    <row r="112" spans="1:17" ht="11.25" customHeight="1" x14ac:dyDescent="0.25">
      <c r="A112" s="772"/>
      <c r="B112" s="342">
        <f t="shared" si="9"/>
        <v>92</v>
      </c>
      <c r="C112" s="784" t="s">
        <v>584</v>
      </c>
      <c r="D112" s="785"/>
      <c r="E112" s="344">
        <v>64060055</v>
      </c>
      <c r="F112" s="350"/>
      <c r="G112" s="297"/>
      <c r="H112" s="517">
        <f>+F112*2.5%</f>
        <v>0</v>
      </c>
      <c r="K112" s="171"/>
      <c r="M112" s="157"/>
      <c r="N112" s="157"/>
      <c r="O112" s="157"/>
      <c r="P112" s="157"/>
      <c r="Q112" s="157"/>
    </row>
    <row r="113" spans="1:18" ht="11.25" customHeight="1" x14ac:dyDescent="0.25">
      <c r="A113" s="772"/>
      <c r="B113" s="342">
        <f t="shared" si="9"/>
        <v>93</v>
      </c>
      <c r="C113" s="806" t="s">
        <v>741</v>
      </c>
      <c r="D113" s="806"/>
      <c r="E113" s="344">
        <v>64060083</v>
      </c>
      <c r="F113" s="350"/>
      <c r="G113" s="297"/>
      <c r="H113" s="517">
        <f>+F113*5.5%</f>
        <v>0</v>
      </c>
      <c r="K113" s="171"/>
      <c r="M113" s="157"/>
      <c r="N113" s="157"/>
      <c r="O113" s="157"/>
      <c r="P113" s="157"/>
      <c r="Q113" s="157"/>
    </row>
    <row r="114" spans="1:18" ht="11.25" customHeight="1" x14ac:dyDescent="0.25">
      <c r="A114" s="772"/>
      <c r="B114" s="342">
        <f t="shared" si="9"/>
        <v>94</v>
      </c>
      <c r="C114" s="767" t="s">
        <v>368</v>
      </c>
      <c r="D114" s="767"/>
      <c r="E114" s="344">
        <v>64060152</v>
      </c>
      <c r="F114" s="350"/>
      <c r="G114" s="297"/>
      <c r="H114" s="517">
        <f>+F114*1%</f>
        <v>0</v>
      </c>
      <c r="K114" s="171"/>
      <c r="M114" s="173"/>
      <c r="N114" s="173"/>
      <c r="O114" s="173"/>
      <c r="P114" s="173"/>
      <c r="Q114" s="173"/>
    </row>
    <row r="115" spans="1:18" ht="11.25" customHeight="1" x14ac:dyDescent="0.25">
      <c r="A115" s="772"/>
      <c r="B115" s="342">
        <f t="shared" si="9"/>
        <v>95</v>
      </c>
      <c r="C115" s="817" t="s">
        <v>532</v>
      </c>
      <c r="D115" s="818"/>
      <c r="E115" s="345">
        <v>64060153</v>
      </c>
      <c r="F115" s="350"/>
      <c r="G115" s="297"/>
      <c r="H115" s="517">
        <f>+F115*1.5%</f>
        <v>0</v>
      </c>
      <c r="I115" s="188"/>
      <c r="J115" s="188"/>
      <c r="K115" s="188"/>
      <c r="L115" s="188"/>
      <c r="M115" s="173"/>
      <c r="N115" s="173"/>
      <c r="O115" s="173"/>
      <c r="P115" s="173"/>
      <c r="Q115" s="173"/>
    </row>
    <row r="116" spans="1:18" s="189" customFormat="1" ht="11.25" customHeight="1" x14ac:dyDescent="0.25">
      <c r="A116" s="772"/>
      <c r="B116" s="342">
        <f t="shared" si="9"/>
        <v>96</v>
      </c>
      <c r="C116" s="767" t="s">
        <v>369</v>
      </c>
      <c r="D116" s="767"/>
      <c r="E116" s="344">
        <v>64060154</v>
      </c>
      <c r="F116" s="350"/>
      <c r="G116" s="297"/>
      <c r="H116" s="517">
        <f>+F116*2%</f>
        <v>0</v>
      </c>
      <c r="I116" s="188"/>
      <c r="J116" s="188"/>
      <c r="K116" s="188"/>
      <c r="L116" s="188"/>
      <c r="M116" s="173"/>
      <c r="N116" s="173"/>
      <c r="O116" s="173"/>
      <c r="P116" s="173"/>
      <c r="Q116" s="173"/>
      <c r="R116" s="157"/>
    </row>
    <row r="117" spans="1:18" s="189" customFormat="1" ht="11.25" customHeight="1" x14ac:dyDescent="0.25">
      <c r="A117" s="772"/>
      <c r="B117" s="342">
        <f t="shared" si="9"/>
        <v>97</v>
      </c>
      <c r="C117" s="767" t="s">
        <v>370</v>
      </c>
      <c r="D117" s="767"/>
      <c r="E117" s="344">
        <v>64060170</v>
      </c>
      <c r="F117" s="350"/>
      <c r="G117" s="297"/>
      <c r="H117" s="517">
        <f>+F117*10%</f>
        <v>0</v>
      </c>
      <c r="I117" s="171"/>
      <c r="J117" s="171"/>
      <c r="K117" s="171"/>
      <c r="L117" s="172"/>
      <c r="M117" s="173"/>
      <c r="N117" s="173"/>
      <c r="O117" s="173"/>
      <c r="P117" s="173"/>
      <c r="Q117" s="173"/>
      <c r="R117" s="157"/>
    </row>
    <row r="118" spans="1:18" ht="11.25" customHeight="1" x14ac:dyDescent="0.25">
      <c r="A118" s="772"/>
      <c r="B118" s="342">
        <f t="shared" si="9"/>
        <v>98</v>
      </c>
      <c r="C118" s="806" t="s">
        <v>742</v>
      </c>
      <c r="D118" s="806"/>
      <c r="E118" s="344">
        <v>64060265</v>
      </c>
      <c r="F118" s="350"/>
      <c r="G118" s="297"/>
      <c r="H118" s="517">
        <f>+F118*8%</f>
        <v>0</v>
      </c>
      <c r="K118" s="171"/>
      <c r="M118" s="157"/>
      <c r="N118" s="157"/>
      <c r="O118" s="157"/>
      <c r="P118" s="157"/>
      <c r="Q118" s="157"/>
    </row>
    <row r="119" spans="1:18" ht="11.25" customHeight="1" x14ac:dyDescent="0.25">
      <c r="A119" s="772"/>
      <c r="B119" s="342">
        <f t="shared" si="9"/>
        <v>99</v>
      </c>
      <c r="C119" s="784" t="s">
        <v>533</v>
      </c>
      <c r="D119" s="785"/>
      <c r="E119" s="344">
        <v>64060270</v>
      </c>
      <c r="F119" s="350"/>
      <c r="G119" s="297"/>
      <c r="H119" s="517">
        <f>+F119*10%</f>
        <v>0</v>
      </c>
      <c r="K119" s="171"/>
      <c r="M119" s="157"/>
      <c r="N119" s="157"/>
      <c r="O119" s="157"/>
      <c r="P119" s="157"/>
      <c r="Q119" s="157"/>
    </row>
    <row r="120" spans="1:18" ht="11.25" customHeight="1" x14ac:dyDescent="0.25">
      <c r="A120" s="772"/>
      <c r="B120" s="342">
        <f t="shared" si="9"/>
        <v>100</v>
      </c>
      <c r="C120" s="767" t="s">
        <v>92</v>
      </c>
      <c r="D120" s="767"/>
      <c r="E120" s="344">
        <v>64060352</v>
      </c>
      <c r="F120" s="350"/>
      <c r="G120" s="297"/>
      <c r="H120" s="517">
        <f>+F120*1%</f>
        <v>0</v>
      </c>
      <c r="K120" s="171"/>
      <c r="M120" s="157"/>
      <c r="N120" s="157"/>
      <c r="O120" s="157"/>
      <c r="P120" s="157"/>
      <c r="Q120" s="157"/>
    </row>
    <row r="121" spans="1:18" ht="11.25" customHeight="1" x14ac:dyDescent="0.25">
      <c r="A121" s="772"/>
      <c r="B121" s="342">
        <f t="shared" si="9"/>
        <v>101</v>
      </c>
      <c r="C121" s="767" t="s">
        <v>617</v>
      </c>
      <c r="D121" s="767"/>
      <c r="E121" s="383">
        <v>6406081</v>
      </c>
      <c r="F121" s="350"/>
      <c r="G121" s="297"/>
      <c r="H121" s="517"/>
      <c r="K121" s="171"/>
      <c r="M121" s="157"/>
      <c r="N121" s="157"/>
      <c r="O121" s="157"/>
      <c r="P121" s="157"/>
      <c r="Q121" s="157"/>
    </row>
    <row r="122" spans="1:18" ht="11.25" customHeight="1" x14ac:dyDescent="0.25">
      <c r="A122" s="772"/>
      <c r="B122" s="342">
        <f t="shared" si="9"/>
        <v>102</v>
      </c>
      <c r="C122" s="767" t="s">
        <v>618</v>
      </c>
      <c r="D122" s="767"/>
      <c r="E122" s="383">
        <v>6406082</v>
      </c>
      <c r="F122" s="350"/>
      <c r="G122" s="297"/>
      <c r="H122" s="517"/>
      <c r="K122" s="171"/>
      <c r="M122" s="157"/>
      <c r="N122" s="157"/>
      <c r="O122" s="157"/>
      <c r="P122" s="157"/>
      <c r="Q122" s="157"/>
    </row>
    <row r="123" spans="1:18" ht="11.25" customHeight="1" x14ac:dyDescent="0.25">
      <c r="A123" s="772"/>
      <c r="B123" s="342">
        <f t="shared" si="9"/>
        <v>103</v>
      </c>
      <c r="C123" s="779" t="s">
        <v>619</v>
      </c>
      <c r="D123" s="779"/>
      <c r="E123" s="383">
        <v>64070054</v>
      </c>
      <c r="F123" s="350"/>
      <c r="G123" s="297"/>
      <c r="H123" s="517">
        <f>+F123*1%</f>
        <v>0</v>
      </c>
      <c r="K123" s="171"/>
      <c r="M123" s="157"/>
      <c r="N123" s="157"/>
      <c r="O123" s="157"/>
      <c r="P123" s="157"/>
      <c r="Q123" s="157"/>
    </row>
    <row r="124" spans="1:18" ht="11.25" customHeight="1" x14ac:dyDescent="0.25">
      <c r="A124" s="772"/>
      <c r="B124" s="342">
        <f t="shared" si="9"/>
        <v>104</v>
      </c>
      <c r="C124" s="795" t="s">
        <v>93</v>
      </c>
      <c r="D124" s="795"/>
      <c r="E124" s="344">
        <v>64070151</v>
      </c>
      <c r="F124" s="350"/>
      <c r="G124" s="297"/>
      <c r="H124" s="517">
        <f>+F124*5%</f>
        <v>0</v>
      </c>
      <c r="K124" s="171"/>
      <c r="M124" s="157"/>
      <c r="N124" s="157"/>
      <c r="O124" s="157"/>
      <c r="P124" s="157"/>
      <c r="Q124" s="157"/>
    </row>
    <row r="125" spans="1:18" ht="11.25" customHeight="1" x14ac:dyDescent="0.25">
      <c r="A125" s="772"/>
      <c r="B125" s="342">
        <f t="shared" si="9"/>
        <v>105</v>
      </c>
      <c r="C125" s="765" t="s">
        <v>534</v>
      </c>
      <c r="D125" s="766"/>
      <c r="E125" s="344">
        <v>64070152</v>
      </c>
      <c r="F125" s="350"/>
      <c r="G125" s="297"/>
      <c r="H125" s="517"/>
      <c r="K125" s="171"/>
      <c r="M125" s="157"/>
      <c r="N125" s="157"/>
      <c r="O125" s="157"/>
      <c r="P125" s="157"/>
      <c r="Q125" s="157"/>
    </row>
    <row r="126" spans="1:18" ht="11.25" customHeight="1" x14ac:dyDescent="0.25">
      <c r="A126" s="772"/>
      <c r="B126" s="342">
        <f t="shared" si="9"/>
        <v>106</v>
      </c>
      <c r="C126" s="765" t="s">
        <v>535</v>
      </c>
      <c r="D126" s="766"/>
      <c r="E126" s="344">
        <v>64070153</v>
      </c>
      <c r="F126" s="350"/>
      <c r="G126" s="297"/>
      <c r="H126" s="517"/>
      <c r="K126" s="171"/>
      <c r="M126" s="157"/>
      <c r="N126" s="157"/>
      <c r="O126" s="157"/>
      <c r="P126" s="157"/>
      <c r="Q126" s="157"/>
    </row>
    <row r="127" spans="1:18" ht="11.25" customHeight="1" x14ac:dyDescent="0.25">
      <c r="A127" s="772"/>
      <c r="B127" s="342">
        <f t="shared" si="9"/>
        <v>107</v>
      </c>
      <c r="C127" s="765" t="s">
        <v>536</v>
      </c>
      <c r="D127" s="766"/>
      <c r="E127" s="344">
        <v>64070154</v>
      </c>
      <c r="F127" s="350"/>
      <c r="G127" s="297"/>
      <c r="H127" s="517"/>
      <c r="K127" s="171"/>
      <c r="M127" s="157"/>
      <c r="N127" s="157"/>
      <c r="O127" s="157"/>
      <c r="P127" s="157"/>
      <c r="Q127" s="157"/>
    </row>
    <row r="128" spans="1:18" ht="11.25" customHeight="1" x14ac:dyDescent="0.25">
      <c r="A128" s="772"/>
      <c r="B128" s="342">
        <f t="shared" si="9"/>
        <v>108</v>
      </c>
      <c r="C128" s="765" t="s">
        <v>563</v>
      </c>
      <c r="D128" s="766"/>
      <c r="E128" s="344">
        <v>64070155</v>
      </c>
      <c r="F128" s="350"/>
      <c r="G128" s="297"/>
      <c r="H128" s="517"/>
      <c r="M128" s="157"/>
      <c r="N128" s="157"/>
      <c r="O128" s="157"/>
      <c r="P128" s="157"/>
      <c r="Q128" s="157"/>
    </row>
    <row r="129" spans="1:17" ht="11.25" customHeight="1" x14ac:dyDescent="0.25">
      <c r="A129" s="772"/>
      <c r="B129" s="342">
        <f t="shared" si="9"/>
        <v>109</v>
      </c>
      <c r="C129" s="765" t="s">
        <v>721</v>
      </c>
      <c r="D129" s="766"/>
      <c r="E129" s="344">
        <v>64060290</v>
      </c>
      <c r="F129" s="350"/>
      <c r="G129" s="297"/>
      <c r="H129" s="517">
        <f>F129*0.25%</f>
        <v>0</v>
      </c>
      <c r="M129" s="157"/>
      <c r="N129" s="157"/>
      <c r="O129" s="157"/>
      <c r="P129" s="157"/>
      <c r="Q129" s="157"/>
    </row>
    <row r="130" spans="1:17" ht="11.25" customHeight="1" x14ac:dyDescent="0.25">
      <c r="A130" s="772"/>
      <c r="B130" s="342">
        <f t="shared" si="9"/>
        <v>110</v>
      </c>
      <c r="C130" s="765" t="s">
        <v>722</v>
      </c>
      <c r="D130" s="766"/>
      <c r="E130" s="344">
        <v>64060285</v>
      </c>
      <c r="F130" s="350"/>
      <c r="G130" s="297"/>
      <c r="H130" s="517">
        <f>F130*1%</f>
        <v>0</v>
      </c>
      <c r="M130" s="157"/>
      <c r="N130" s="157"/>
      <c r="O130" s="157"/>
      <c r="P130" s="157"/>
      <c r="Q130" s="157"/>
    </row>
    <row r="131" spans="1:17" ht="11.25" customHeight="1" x14ac:dyDescent="0.25">
      <c r="A131" s="772"/>
      <c r="B131" s="342">
        <f t="shared" si="9"/>
        <v>111</v>
      </c>
      <c r="C131" s="795" t="s">
        <v>440</v>
      </c>
      <c r="D131" s="795"/>
      <c r="E131" s="344">
        <v>64090051</v>
      </c>
      <c r="F131" s="297"/>
      <c r="G131" s="297"/>
      <c r="H131" s="517">
        <f>F131*15%</f>
        <v>0</v>
      </c>
      <c r="M131" s="157"/>
      <c r="N131" s="157"/>
      <c r="O131" s="157"/>
      <c r="P131" s="157"/>
      <c r="Q131" s="157"/>
    </row>
    <row r="132" spans="1:17" ht="11.25" customHeight="1" x14ac:dyDescent="0.25">
      <c r="A132" s="772"/>
      <c r="B132" s="342">
        <f t="shared" si="9"/>
        <v>112</v>
      </c>
      <c r="C132" s="767" t="s">
        <v>441</v>
      </c>
      <c r="D132" s="767"/>
      <c r="E132" s="344">
        <v>64090052</v>
      </c>
      <c r="F132" s="297"/>
      <c r="G132" s="297"/>
      <c r="H132" s="517">
        <f t="shared" ref="H132:H136" si="10">F132*15%</f>
        <v>0</v>
      </c>
      <c r="M132" s="157"/>
      <c r="N132" s="157"/>
      <c r="O132" s="157"/>
      <c r="P132" s="157"/>
      <c r="Q132" s="157"/>
    </row>
    <row r="133" spans="1:17" ht="11.25" customHeight="1" x14ac:dyDescent="0.25">
      <c r="A133" s="772"/>
      <c r="B133" s="342">
        <f t="shared" si="9"/>
        <v>113</v>
      </c>
      <c r="C133" s="767" t="s">
        <v>442</v>
      </c>
      <c r="D133" s="767"/>
      <c r="E133" s="344">
        <v>64090053</v>
      </c>
      <c r="F133" s="297"/>
      <c r="G133" s="297"/>
      <c r="H133" s="517">
        <f t="shared" si="10"/>
        <v>0</v>
      </c>
      <c r="M133" s="157"/>
      <c r="N133" s="157"/>
      <c r="O133" s="157"/>
      <c r="P133" s="157"/>
      <c r="Q133" s="157"/>
    </row>
    <row r="134" spans="1:17" ht="11.25" customHeight="1" x14ac:dyDescent="0.25">
      <c r="A134" s="772"/>
      <c r="B134" s="342">
        <f t="shared" si="9"/>
        <v>114</v>
      </c>
      <c r="C134" s="767" t="s">
        <v>443</v>
      </c>
      <c r="D134" s="767"/>
      <c r="E134" s="344">
        <v>64090054</v>
      </c>
      <c r="F134" s="297"/>
      <c r="G134" s="297"/>
      <c r="H134" s="517">
        <f t="shared" si="10"/>
        <v>0</v>
      </c>
      <c r="M134" s="157"/>
      <c r="N134" s="157"/>
      <c r="O134" s="157"/>
      <c r="P134" s="157"/>
      <c r="Q134" s="157"/>
    </row>
    <row r="135" spans="1:17" ht="11.25" customHeight="1" x14ac:dyDescent="0.25">
      <c r="A135" s="772"/>
      <c r="B135" s="342">
        <f t="shared" si="9"/>
        <v>115</v>
      </c>
      <c r="C135" s="767" t="s">
        <v>444</v>
      </c>
      <c r="D135" s="767"/>
      <c r="E135" s="344">
        <v>64090055</v>
      </c>
      <c r="F135" s="297"/>
      <c r="G135" s="297"/>
      <c r="H135" s="517">
        <f t="shared" si="10"/>
        <v>0</v>
      </c>
      <c r="M135" s="157"/>
      <c r="N135" s="157"/>
      <c r="O135" s="157"/>
      <c r="P135" s="157"/>
      <c r="Q135" s="157"/>
    </row>
    <row r="136" spans="1:17" ht="11.25" customHeight="1" x14ac:dyDescent="0.25">
      <c r="A136" s="772"/>
      <c r="B136" s="342">
        <f t="shared" si="9"/>
        <v>116</v>
      </c>
      <c r="C136" s="767" t="s">
        <v>445</v>
      </c>
      <c r="D136" s="767"/>
      <c r="E136" s="344">
        <v>64090056</v>
      </c>
      <c r="F136" s="297"/>
      <c r="G136" s="297"/>
      <c r="H136" s="517">
        <f t="shared" si="10"/>
        <v>0</v>
      </c>
      <c r="M136" s="157"/>
      <c r="N136" s="157"/>
      <c r="O136" s="157"/>
      <c r="P136" s="157"/>
      <c r="Q136" s="157"/>
    </row>
    <row r="137" spans="1:17" ht="11.25" customHeight="1" x14ac:dyDescent="0.25">
      <c r="A137" s="772"/>
      <c r="B137" s="342">
        <f t="shared" si="9"/>
        <v>117</v>
      </c>
      <c r="C137" s="765" t="s">
        <v>513</v>
      </c>
      <c r="D137" s="766"/>
      <c r="E137" s="344">
        <v>64090151</v>
      </c>
      <c r="F137" s="297"/>
      <c r="G137" s="297"/>
      <c r="H137" s="517">
        <f>+F137*12%</f>
        <v>0</v>
      </c>
      <c r="M137" s="157"/>
      <c r="N137" s="157"/>
      <c r="O137" s="157"/>
      <c r="P137" s="157"/>
      <c r="Q137" s="157"/>
    </row>
    <row r="138" spans="1:17" ht="11.25" customHeight="1" x14ac:dyDescent="0.25">
      <c r="A138" s="772"/>
      <c r="B138" s="342">
        <f t="shared" si="9"/>
        <v>118</v>
      </c>
      <c r="C138" s="780" t="s">
        <v>620</v>
      </c>
      <c r="D138" s="781"/>
      <c r="E138" s="384">
        <v>64120060</v>
      </c>
      <c r="F138" s="350"/>
      <c r="G138" s="297"/>
      <c r="H138" s="517">
        <f>+F138*5%</f>
        <v>0</v>
      </c>
      <c r="M138" s="157"/>
      <c r="N138" s="157"/>
      <c r="O138" s="157"/>
      <c r="P138" s="157"/>
      <c r="Q138" s="157"/>
    </row>
    <row r="139" spans="1:17" ht="11.25" customHeight="1" x14ac:dyDescent="0.25">
      <c r="A139" s="772"/>
      <c r="B139" s="342">
        <f t="shared" si="9"/>
        <v>119</v>
      </c>
      <c r="C139" s="780" t="s">
        <v>537</v>
      </c>
      <c r="D139" s="781"/>
      <c r="E139" s="345">
        <v>64120066</v>
      </c>
      <c r="F139" s="350"/>
      <c r="G139" s="297"/>
      <c r="H139" s="517">
        <f>+F139*8%</f>
        <v>0</v>
      </c>
      <c r="M139" s="157"/>
      <c r="N139" s="157"/>
      <c r="O139" s="157"/>
      <c r="P139" s="157"/>
      <c r="Q139" s="157"/>
    </row>
    <row r="140" spans="1:17" ht="11.25" customHeight="1" x14ac:dyDescent="0.25">
      <c r="A140" s="772"/>
      <c r="B140" s="342">
        <f t="shared" si="9"/>
        <v>120</v>
      </c>
      <c r="C140" s="767" t="s">
        <v>514</v>
      </c>
      <c r="D140" s="767"/>
      <c r="E140" s="346">
        <v>64120070</v>
      </c>
      <c r="F140" s="350"/>
      <c r="G140" s="297"/>
      <c r="H140" s="517">
        <f>+F140*10%</f>
        <v>0</v>
      </c>
      <c r="M140" s="157"/>
      <c r="N140" s="157"/>
      <c r="O140" s="157"/>
      <c r="P140" s="157"/>
      <c r="Q140" s="157"/>
    </row>
    <row r="141" spans="1:17" ht="11.25" customHeight="1" x14ac:dyDescent="0.25">
      <c r="A141" s="772"/>
      <c r="B141" s="342">
        <f t="shared" si="9"/>
        <v>121</v>
      </c>
      <c r="C141" s="767" t="s">
        <v>446</v>
      </c>
      <c r="D141" s="767"/>
      <c r="E141" s="346">
        <v>64120074</v>
      </c>
      <c r="F141" s="350"/>
      <c r="G141" s="297"/>
      <c r="H141" s="517">
        <f>+F141*12%</f>
        <v>0</v>
      </c>
      <c r="M141" s="157"/>
      <c r="N141" s="157"/>
      <c r="O141" s="157"/>
      <c r="P141" s="157"/>
      <c r="Q141" s="157"/>
    </row>
    <row r="142" spans="1:17" ht="11.25" customHeight="1" x14ac:dyDescent="0.25">
      <c r="A142" s="772"/>
      <c r="B142" s="342">
        <f t="shared" si="9"/>
        <v>122</v>
      </c>
      <c r="C142" s="767" t="s">
        <v>449</v>
      </c>
      <c r="D142" s="767"/>
      <c r="E142" s="346">
        <v>64130151</v>
      </c>
      <c r="F142" s="297"/>
      <c r="G142" s="297"/>
      <c r="H142" s="517"/>
      <c r="M142" s="157"/>
      <c r="N142" s="157"/>
      <c r="O142" s="157"/>
      <c r="P142" s="157"/>
      <c r="Q142" s="157"/>
    </row>
    <row r="143" spans="1:17" ht="11.25" customHeight="1" x14ac:dyDescent="0.25">
      <c r="A143" s="772"/>
      <c r="B143" s="342">
        <f t="shared" si="9"/>
        <v>123</v>
      </c>
      <c r="C143" s="767" t="s">
        <v>416</v>
      </c>
      <c r="D143" s="767"/>
      <c r="E143" s="346">
        <v>64140051</v>
      </c>
      <c r="F143" s="297"/>
      <c r="G143" s="297">
        <f>'Work Sheet'!I10</f>
        <v>0</v>
      </c>
      <c r="H143" s="517"/>
      <c r="M143" s="157"/>
      <c r="N143" s="157"/>
      <c r="O143" s="157"/>
      <c r="P143" s="157"/>
      <c r="Q143" s="157"/>
    </row>
    <row r="144" spans="1:17" ht="10.5" customHeight="1" x14ac:dyDescent="0.25">
      <c r="A144" s="772"/>
      <c r="B144" s="342">
        <f t="shared" si="9"/>
        <v>124</v>
      </c>
      <c r="C144" s="767" t="s">
        <v>417</v>
      </c>
      <c r="D144" s="767"/>
      <c r="E144" s="346">
        <v>64140052</v>
      </c>
      <c r="F144" s="297"/>
      <c r="G144" s="297">
        <f>'Work Sheet'!I11</f>
        <v>0</v>
      </c>
      <c r="H144" s="517"/>
      <c r="M144" s="157"/>
      <c r="N144" s="157"/>
      <c r="O144" s="157"/>
      <c r="P144" s="157"/>
      <c r="Q144" s="157"/>
    </row>
    <row r="145" spans="1:17" ht="10.5" customHeight="1" x14ac:dyDescent="0.25">
      <c r="A145" s="772"/>
      <c r="B145" s="342">
        <f t="shared" si="9"/>
        <v>125</v>
      </c>
      <c r="C145" s="784" t="s">
        <v>538</v>
      </c>
      <c r="D145" s="785"/>
      <c r="E145" s="346">
        <v>64150102</v>
      </c>
      <c r="F145" s="297"/>
      <c r="G145" s="297"/>
      <c r="H145" s="517"/>
      <c r="M145" s="157"/>
      <c r="N145" s="157"/>
      <c r="O145" s="157"/>
      <c r="P145" s="157"/>
      <c r="Q145" s="157"/>
    </row>
    <row r="146" spans="1:17" ht="10.5" customHeight="1" x14ac:dyDescent="0.25">
      <c r="A146" s="772"/>
      <c r="B146" s="342">
        <f t="shared" si="9"/>
        <v>126</v>
      </c>
      <c r="C146" s="782" t="s">
        <v>600</v>
      </c>
      <c r="D146" s="783"/>
      <c r="E146" s="346">
        <v>64151653</v>
      </c>
      <c r="F146" s="297"/>
      <c r="G146" s="297"/>
      <c r="H146" s="517">
        <f>+F146*0.5%</f>
        <v>0</v>
      </c>
      <c r="M146" s="157"/>
      <c r="N146" s="157"/>
      <c r="O146" s="157"/>
      <c r="P146" s="157"/>
      <c r="Q146" s="157"/>
    </row>
    <row r="147" spans="1:17" ht="11.25" customHeight="1" x14ac:dyDescent="0.25">
      <c r="A147" s="772"/>
      <c r="B147" s="342">
        <f t="shared" si="9"/>
        <v>127</v>
      </c>
      <c r="C147" s="782" t="s">
        <v>515</v>
      </c>
      <c r="D147" s="783"/>
      <c r="E147" s="347" t="s">
        <v>516</v>
      </c>
      <c r="F147" s="297"/>
      <c r="G147" s="297"/>
      <c r="H147" s="517"/>
    </row>
    <row r="148" spans="1:17" ht="11.25" customHeight="1" x14ac:dyDescent="0.25">
      <c r="A148" s="772"/>
      <c r="B148" s="342">
        <f t="shared" si="9"/>
        <v>128</v>
      </c>
      <c r="C148" s="784" t="s">
        <v>539</v>
      </c>
      <c r="D148" s="785"/>
      <c r="E148" s="347" t="s">
        <v>540</v>
      </c>
      <c r="F148" s="297"/>
      <c r="G148" s="297"/>
      <c r="H148" s="517"/>
    </row>
    <row r="149" spans="1:17" ht="11.25" customHeight="1" x14ac:dyDescent="0.25">
      <c r="A149" s="772"/>
      <c r="B149" s="342">
        <f t="shared" si="9"/>
        <v>129</v>
      </c>
      <c r="C149" s="784" t="s">
        <v>736</v>
      </c>
      <c r="D149" s="785"/>
      <c r="E149" s="347" t="s">
        <v>737</v>
      </c>
      <c r="F149" s="297"/>
      <c r="G149" s="297"/>
      <c r="H149" s="517"/>
    </row>
    <row r="150" spans="1:17" ht="11.25" customHeight="1" x14ac:dyDescent="0.25">
      <c r="A150" s="772"/>
      <c r="B150" s="342">
        <f t="shared" si="9"/>
        <v>130</v>
      </c>
      <c r="C150" s="765" t="s">
        <v>686</v>
      </c>
      <c r="D150" s="766"/>
      <c r="E150" s="347" t="s">
        <v>541</v>
      </c>
      <c r="F150" s="297"/>
      <c r="G150" s="297"/>
      <c r="H150" s="517">
        <f>+F150*7.5%</f>
        <v>0</v>
      </c>
    </row>
    <row r="151" spans="1:17" ht="11.25" customHeight="1" thickBot="1" x14ac:dyDescent="0.3">
      <c r="A151" s="772"/>
      <c r="B151" s="342">
        <f t="shared" si="9"/>
        <v>131</v>
      </c>
      <c r="C151" s="765" t="s">
        <v>687</v>
      </c>
      <c r="D151" s="766"/>
      <c r="E151" s="347" t="s">
        <v>585</v>
      </c>
      <c r="F151" s="297"/>
      <c r="G151" s="297"/>
      <c r="H151" s="517">
        <f>+F151*15%</f>
        <v>0</v>
      </c>
    </row>
    <row r="152" spans="1:17" ht="11.25" customHeight="1" thickBot="1" x14ac:dyDescent="0.3">
      <c r="A152" s="772"/>
      <c r="B152" s="342">
        <f t="shared" si="9"/>
        <v>132</v>
      </c>
      <c r="C152" s="779" t="s">
        <v>621</v>
      </c>
      <c r="D152" s="779"/>
      <c r="E152" s="385" t="s">
        <v>695</v>
      </c>
      <c r="F152" s="670">
        <f>SUM(F153:F157)</f>
        <v>0</v>
      </c>
      <c r="G152" s="670">
        <f>SUM(G153:G157)</f>
        <v>0</v>
      </c>
      <c r="H152" s="670">
        <f>SUM(H153:H157)</f>
        <v>0</v>
      </c>
      <c r="I152" s="726" t="s">
        <v>731</v>
      </c>
      <c r="J152" s="727"/>
      <c r="L152" s="171"/>
    </row>
    <row r="153" spans="1:17" ht="11.25" customHeight="1" x14ac:dyDescent="0.25">
      <c r="A153" s="772"/>
      <c r="B153" s="342">
        <f t="shared" si="9"/>
        <v>133</v>
      </c>
      <c r="C153" s="788" t="s">
        <v>688</v>
      </c>
      <c r="D153" s="789"/>
      <c r="E153" s="385" t="s">
        <v>689</v>
      </c>
      <c r="F153" s="297"/>
      <c r="G153" s="297"/>
      <c r="H153" s="517">
        <f>J153</f>
        <v>0</v>
      </c>
      <c r="I153" s="728" t="s">
        <v>748</v>
      </c>
      <c r="J153" s="733">
        <f>IF(AND(I153="FLAT"),F153*15%,IF(AND(I153="CONSTRUCTED"),F153*15%,IF(AND(I153="PLOT"),F153*15%,0)))</f>
        <v>0</v>
      </c>
      <c r="L153" s="332"/>
    </row>
    <row r="154" spans="1:17" ht="11.25" customHeight="1" x14ac:dyDescent="0.25">
      <c r="A154" s="772"/>
      <c r="B154" s="342">
        <f t="shared" si="9"/>
        <v>134</v>
      </c>
      <c r="C154" s="788" t="s">
        <v>691</v>
      </c>
      <c r="D154" s="789"/>
      <c r="E154" s="385" t="s">
        <v>690</v>
      </c>
      <c r="F154" s="297"/>
      <c r="G154" s="297"/>
      <c r="H154" s="517">
        <f t="shared" ref="H154:H157" si="11">J154</f>
        <v>0</v>
      </c>
      <c r="I154" s="728" t="s">
        <v>749</v>
      </c>
      <c r="J154" s="733">
        <f>IF(AND(I154="FLAT"),F154*7.5%,IF(AND(I154="CONSTRUCTED"),F154*10%,IF(AND(I154="PLOT"),F154*12.5%,0)))</f>
        <v>0</v>
      </c>
      <c r="L154" s="332"/>
    </row>
    <row r="155" spans="1:17" ht="21" customHeight="1" x14ac:dyDescent="0.25">
      <c r="A155" s="772"/>
      <c r="B155" s="342">
        <f t="shared" si="9"/>
        <v>135</v>
      </c>
      <c r="C155" s="788" t="s">
        <v>692</v>
      </c>
      <c r="D155" s="789"/>
      <c r="E155" s="385" t="s">
        <v>693</v>
      </c>
      <c r="F155" s="297"/>
      <c r="G155" s="297"/>
      <c r="H155" s="517">
        <f t="shared" si="11"/>
        <v>0</v>
      </c>
      <c r="I155" s="728" t="s">
        <v>740</v>
      </c>
      <c r="J155" s="733">
        <f>IF(AND(I155="FLAT"),F155*0%,IF(AND(I155="CONSTRUCTED"),F155*7.5%,IF(AND(I155="PLOT"),F155*10%,0)))</f>
        <v>0</v>
      </c>
      <c r="L155" s="332"/>
    </row>
    <row r="156" spans="1:17" ht="21.75" customHeight="1" x14ac:dyDescent="0.25">
      <c r="A156" s="772"/>
      <c r="B156" s="342">
        <f t="shared" si="9"/>
        <v>136</v>
      </c>
      <c r="C156" s="788" t="s">
        <v>696</v>
      </c>
      <c r="D156" s="789"/>
      <c r="E156" s="385" t="s">
        <v>697</v>
      </c>
      <c r="F156" s="297"/>
      <c r="G156" s="297"/>
      <c r="H156" s="517">
        <f t="shared" si="11"/>
        <v>0</v>
      </c>
      <c r="I156" s="728" t="s">
        <v>749</v>
      </c>
      <c r="J156" s="733">
        <f>IF(AND(I156="FLAT"),F156*0%,IF(AND(I156="CONSTRUCTED"),F156*5%,IF(AND(I156="PLOT"),F156*7.5%,0)))</f>
        <v>0</v>
      </c>
      <c r="L156" s="332"/>
    </row>
    <row r="157" spans="1:17" ht="21.75" customHeight="1" x14ac:dyDescent="0.25">
      <c r="A157" s="772"/>
      <c r="B157" s="342">
        <f t="shared" si="9"/>
        <v>137</v>
      </c>
      <c r="C157" s="791" t="s">
        <v>743</v>
      </c>
      <c r="D157" s="792"/>
      <c r="E157" s="385" t="s">
        <v>694</v>
      </c>
      <c r="F157" s="297"/>
      <c r="G157" s="297"/>
      <c r="H157" s="517">
        <f t="shared" si="11"/>
        <v>0</v>
      </c>
      <c r="I157" s="728" t="s">
        <v>748</v>
      </c>
      <c r="J157" s="733">
        <f>IF(AND(I157="FLAT"),F157*0%,IF(AND(I157="CONSTRUCTED"),F157*0%,IF(AND(I157="PLOT"),F157*5%,0)))</f>
        <v>0</v>
      </c>
      <c r="L157" s="332"/>
    </row>
    <row r="158" spans="1:17" ht="21.75" customHeight="1" x14ac:dyDescent="0.25">
      <c r="A158" s="772"/>
      <c r="B158" s="342">
        <f t="shared" si="9"/>
        <v>138</v>
      </c>
      <c r="C158" s="796" t="s">
        <v>744</v>
      </c>
      <c r="D158" s="797"/>
      <c r="E158" s="385" t="s">
        <v>745</v>
      </c>
      <c r="F158" s="297"/>
      <c r="G158" s="297"/>
      <c r="H158" s="517"/>
      <c r="I158" s="728" t="s">
        <v>740</v>
      </c>
      <c r="J158" s="733">
        <f>IF(AND(I158="FLAT"),F158*0%,IF(AND(I158="CONSTRUCTED"),F158*0%,IF(AND(I158="PLOT"),F158*2.5%,0)))</f>
        <v>0</v>
      </c>
      <c r="L158" s="332"/>
    </row>
    <row r="159" spans="1:17" ht="13.8" thickBot="1" x14ac:dyDescent="0.3">
      <c r="A159" s="772"/>
      <c r="B159" s="342">
        <f t="shared" si="9"/>
        <v>139</v>
      </c>
      <c r="C159" s="796" t="s">
        <v>747</v>
      </c>
      <c r="D159" s="797"/>
      <c r="E159" s="385" t="s">
        <v>746</v>
      </c>
      <c r="F159" s="297"/>
      <c r="G159" s="297"/>
      <c r="H159" s="517"/>
      <c r="I159" s="734" t="s">
        <v>749</v>
      </c>
      <c r="J159" s="735">
        <f>IF(AND(I159="FLAT"),F159*0%,IF(AND(I159="CONSTRUCTED"),F159*0%,IF(AND(I159="PLOT"),F159*0%,0)))</f>
        <v>0</v>
      </c>
      <c r="L159" s="332"/>
    </row>
    <row r="160" spans="1:17" ht="11.25" customHeight="1" x14ac:dyDescent="0.25">
      <c r="A160" s="772"/>
      <c r="B160" s="342">
        <f t="shared" si="9"/>
        <v>140</v>
      </c>
      <c r="C160" s="786" t="s">
        <v>622</v>
      </c>
      <c r="D160" s="787"/>
      <c r="E160" s="386">
        <v>64220151</v>
      </c>
      <c r="F160" s="297"/>
      <c r="G160" s="297"/>
      <c r="H160" s="517">
        <f>+F160*0%</f>
        <v>0</v>
      </c>
      <c r="I160" s="186"/>
      <c r="J160" s="186"/>
      <c r="K160" s="186"/>
      <c r="L160" s="186"/>
    </row>
    <row r="161" spans="1:17" s="187" customFormat="1" ht="11.25" customHeight="1" x14ac:dyDescent="0.25">
      <c r="A161" s="772"/>
      <c r="B161" s="342">
        <f t="shared" si="9"/>
        <v>141</v>
      </c>
      <c r="C161" s="793" t="s">
        <v>542</v>
      </c>
      <c r="D161" s="794"/>
      <c r="E161" s="386">
        <v>64220153</v>
      </c>
      <c r="F161" s="297"/>
      <c r="G161" s="297"/>
      <c r="H161" s="517">
        <f>+F161*5%</f>
        <v>0</v>
      </c>
      <c r="I161" s="186"/>
      <c r="J161" s="186"/>
      <c r="K161" s="186"/>
      <c r="L161" s="186"/>
      <c r="M161" s="186"/>
      <c r="N161" s="186"/>
      <c r="O161" s="186"/>
      <c r="P161" s="186"/>
      <c r="Q161" s="186"/>
    </row>
    <row r="162" spans="1:17" s="187" customFormat="1" ht="11.25" customHeight="1" x14ac:dyDescent="0.25">
      <c r="A162" s="772"/>
      <c r="B162" s="342">
        <f t="shared" si="9"/>
        <v>142</v>
      </c>
      <c r="C162" s="786" t="s">
        <v>543</v>
      </c>
      <c r="D162" s="787"/>
      <c r="E162" s="386">
        <v>64220157</v>
      </c>
      <c r="F162" s="297"/>
      <c r="G162" s="297"/>
      <c r="H162" s="517">
        <f>+F162*7.5%</f>
        <v>0</v>
      </c>
      <c r="I162" s="186"/>
      <c r="J162" s="186"/>
      <c r="K162" s="186"/>
      <c r="L162" s="186"/>
      <c r="M162" s="186"/>
      <c r="N162" s="186"/>
      <c r="O162" s="186"/>
      <c r="P162" s="186"/>
      <c r="Q162" s="186"/>
    </row>
    <row r="163" spans="1:17" s="187" customFormat="1" ht="11.25" customHeight="1" x14ac:dyDescent="0.25">
      <c r="A163" s="772"/>
      <c r="B163" s="342">
        <f t="shared" si="9"/>
        <v>143</v>
      </c>
      <c r="C163" s="786" t="s">
        <v>586</v>
      </c>
      <c r="D163" s="787"/>
      <c r="E163" s="519">
        <v>64220158</v>
      </c>
      <c r="F163" s="297"/>
      <c r="G163" s="297"/>
      <c r="H163" s="517">
        <f>+F163*10%</f>
        <v>0</v>
      </c>
      <c r="I163" s="186"/>
      <c r="J163" s="186"/>
      <c r="K163" s="186"/>
      <c r="L163" s="186"/>
      <c r="M163" s="186"/>
      <c r="N163" s="186"/>
      <c r="O163" s="186"/>
      <c r="P163" s="186"/>
      <c r="Q163" s="186"/>
    </row>
    <row r="164" spans="1:17" s="187" customFormat="1" ht="11.25" customHeight="1" x14ac:dyDescent="0.25">
      <c r="A164" s="772"/>
      <c r="B164" s="342">
        <f t="shared" si="9"/>
        <v>144</v>
      </c>
      <c r="C164" s="786" t="s">
        <v>623</v>
      </c>
      <c r="D164" s="787"/>
      <c r="E164" s="386">
        <v>64220155</v>
      </c>
      <c r="F164" s="297"/>
      <c r="G164" s="297"/>
      <c r="H164" s="517">
        <f>+F164*12.5%</f>
        <v>0</v>
      </c>
      <c r="I164" s="186"/>
      <c r="J164" s="186"/>
      <c r="K164" s="186"/>
      <c r="L164" s="186"/>
      <c r="M164" s="186"/>
      <c r="N164" s="186"/>
      <c r="O164" s="186"/>
      <c r="P164" s="186"/>
      <c r="Q164" s="186"/>
    </row>
    <row r="165" spans="1:17" s="187" customFormat="1" ht="11.25" customHeight="1" x14ac:dyDescent="0.25">
      <c r="A165" s="772"/>
      <c r="B165" s="342">
        <f t="shared" si="9"/>
        <v>145</v>
      </c>
      <c r="C165" s="790" t="s">
        <v>517</v>
      </c>
      <c r="D165" s="790"/>
      <c r="E165" s="386">
        <v>64220156</v>
      </c>
      <c r="F165" s="297"/>
      <c r="G165" s="297"/>
      <c r="H165" s="517">
        <f>+F165*15%</f>
        <v>0</v>
      </c>
      <c r="I165" s="171"/>
      <c r="J165" s="171"/>
      <c r="K165" s="172"/>
      <c r="L165" s="172"/>
      <c r="M165" s="186"/>
      <c r="N165" s="186"/>
      <c r="O165" s="186"/>
      <c r="P165" s="186"/>
      <c r="Q165" s="186"/>
    </row>
    <row r="166" spans="1:17" ht="11.25" customHeight="1" x14ac:dyDescent="0.25">
      <c r="A166" s="772"/>
      <c r="B166" s="342">
        <f t="shared" si="9"/>
        <v>146</v>
      </c>
      <c r="C166" s="775" t="s">
        <v>544</v>
      </c>
      <c r="D166" s="776"/>
      <c r="E166" s="387">
        <v>64310055</v>
      </c>
      <c r="F166" s="297"/>
      <c r="G166" s="297"/>
      <c r="H166" s="517"/>
    </row>
    <row r="167" spans="1:17" ht="11.25" customHeight="1" x14ac:dyDescent="0.25">
      <c r="A167" s="772"/>
      <c r="B167" s="342">
        <f t="shared" si="9"/>
        <v>147</v>
      </c>
      <c r="C167" s="775" t="s">
        <v>512</v>
      </c>
      <c r="D167" s="776"/>
      <c r="E167" s="387">
        <v>64310056</v>
      </c>
      <c r="F167" s="297">
        <f>IF('Work Sheet'!I15&lt;=5000000,'Work Sheet'!I15,0)</f>
        <v>0</v>
      </c>
      <c r="G167" s="297"/>
      <c r="H167" s="517">
        <f>IF(F167&lt;=5000000,F167*15%,0)</f>
        <v>0</v>
      </c>
      <c r="I167" s="186"/>
    </row>
    <row r="168" spans="1:17" ht="11.25" customHeight="1" x14ac:dyDescent="0.25">
      <c r="A168" s="772"/>
      <c r="B168" s="342">
        <f t="shared" si="9"/>
        <v>148</v>
      </c>
      <c r="C168" s="775" t="s">
        <v>545</v>
      </c>
      <c r="D168" s="776"/>
      <c r="E168" s="387">
        <v>64310061</v>
      </c>
      <c r="F168" s="297"/>
      <c r="G168" s="297"/>
      <c r="H168" s="517">
        <f>+F168*15%</f>
        <v>0</v>
      </c>
    </row>
    <row r="169" spans="1:17" ht="11.25" customHeight="1" x14ac:dyDescent="0.25">
      <c r="A169" s="772"/>
      <c r="B169" s="342">
        <f t="shared" si="9"/>
        <v>149</v>
      </c>
      <c r="C169" s="773" t="s">
        <v>546</v>
      </c>
      <c r="D169" s="774"/>
      <c r="E169" s="387">
        <v>64310062</v>
      </c>
      <c r="F169" s="297"/>
      <c r="G169" s="297"/>
      <c r="H169" s="517"/>
    </row>
    <row r="170" spans="1:17" ht="11.25" customHeight="1" x14ac:dyDescent="0.25">
      <c r="A170" s="772"/>
      <c r="B170" s="342">
        <f t="shared" si="9"/>
        <v>150</v>
      </c>
      <c r="C170" s="775" t="s">
        <v>547</v>
      </c>
      <c r="D170" s="776"/>
      <c r="E170" s="387">
        <v>64310063</v>
      </c>
      <c r="F170" s="297"/>
      <c r="G170" s="297"/>
      <c r="H170" s="517"/>
    </row>
    <row r="171" spans="1:17" ht="11.25" customHeight="1" x14ac:dyDescent="0.25">
      <c r="A171" s="772"/>
      <c r="B171" s="342">
        <f t="shared" si="9"/>
        <v>151</v>
      </c>
      <c r="C171" s="775" t="s">
        <v>548</v>
      </c>
      <c r="D171" s="776"/>
      <c r="E171" s="387">
        <v>64310071</v>
      </c>
      <c r="F171" s="297"/>
      <c r="G171" s="297"/>
      <c r="H171" s="517">
        <f>+F171*10%</f>
        <v>0</v>
      </c>
    </row>
    <row r="172" spans="1:17" ht="11.25" customHeight="1" x14ac:dyDescent="0.25">
      <c r="A172" s="772"/>
      <c r="B172" s="342">
        <f>+B171+1</f>
        <v>152</v>
      </c>
      <c r="C172" s="773" t="s">
        <v>624</v>
      </c>
      <c r="D172" s="774"/>
      <c r="E172" s="388">
        <v>64320051</v>
      </c>
      <c r="F172" s="297"/>
      <c r="G172" s="297"/>
      <c r="H172" s="517"/>
    </row>
    <row r="173" spans="1:17" ht="11.25" customHeight="1" x14ac:dyDescent="0.25">
      <c r="A173" s="772"/>
      <c r="B173" s="507">
        <f>+B172+1</f>
        <v>153</v>
      </c>
      <c r="C173" s="777" t="s">
        <v>596</v>
      </c>
      <c r="D173" s="778"/>
      <c r="E173" s="388">
        <v>64030055</v>
      </c>
      <c r="F173" s="508"/>
      <c r="G173" s="508"/>
      <c r="H173" s="520"/>
    </row>
    <row r="174" spans="1:17" ht="11.25" customHeight="1" thickBot="1" x14ac:dyDescent="0.3">
      <c r="A174" s="772"/>
      <c r="B174" s="771" t="s">
        <v>70</v>
      </c>
      <c r="C174" s="771"/>
      <c r="D174" s="771"/>
      <c r="E174" s="522"/>
      <c r="F174" s="523"/>
      <c r="G174" s="524" t="s">
        <v>71</v>
      </c>
      <c r="H174" s="525" t="str">
        <f>IF('IND (BUS PLUS)'!H74="","",'IND (BUS PLUS)'!H74)</f>
        <v/>
      </c>
    </row>
    <row r="175" spans="1:17" ht="18" customHeight="1" thickBot="1" x14ac:dyDescent="0.3">
      <c r="A175" s="521"/>
      <c r="H175" s="322"/>
    </row>
    <row r="176" spans="1:17" ht="18" customHeight="1" x14ac:dyDescent="0.25">
      <c r="H176" s="322"/>
    </row>
  </sheetData>
  <sheetProtection selectLockedCells="1"/>
  <dataConsolidate/>
  <mergeCells count="190">
    <mergeCell ref="A1:H1"/>
    <mergeCell ref="C62:D62"/>
    <mergeCell ref="C63:D63"/>
    <mergeCell ref="A72:A74"/>
    <mergeCell ref="J4:M4"/>
    <mergeCell ref="A5:B5"/>
    <mergeCell ref="A6:B6"/>
    <mergeCell ref="C49:D49"/>
    <mergeCell ref="C43:D43"/>
    <mergeCell ref="C44:D44"/>
    <mergeCell ref="C20:D20"/>
    <mergeCell ref="C21:D21"/>
    <mergeCell ref="C34:D34"/>
    <mergeCell ref="C39:D39"/>
    <mergeCell ref="C40:D40"/>
    <mergeCell ref="C41:D41"/>
    <mergeCell ref="C42:D42"/>
    <mergeCell ref="C22:D22"/>
    <mergeCell ref="C23:D23"/>
    <mergeCell ref="C24:D24"/>
    <mergeCell ref="C26:D26"/>
    <mergeCell ref="C33:D33"/>
    <mergeCell ref="C30:D30"/>
    <mergeCell ref="A43:A47"/>
    <mergeCell ref="A48:A69"/>
    <mergeCell ref="C61:D61"/>
    <mergeCell ref="C51:D51"/>
    <mergeCell ref="C66:D66"/>
    <mergeCell ref="B73:H73"/>
    <mergeCell ref="C27:D27"/>
    <mergeCell ref="C46:D46"/>
    <mergeCell ref="C48:D48"/>
    <mergeCell ref="C28:D28"/>
    <mergeCell ref="C50:D50"/>
    <mergeCell ref="C54:D54"/>
    <mergeCell ref="C70:D70"/>
    <mergeCell ref="C56:D56"/>
    <mergeCell ref="C58:D58"/>
    <mergeCell ref="C69:D69"/>
    <mergeCell ref="C67:D67"/>
    <mergeCell ref="C59:D59"/>
    <mergeCell ref="C64:D64"/>
    <mergeCell ref="C65:D65"/>
    <mergeCell ref="C68:D68"/>
    <mergeCell ref="C37:D37"/>
    <mergeCell ref="C45:D45"/>
    <mergeCell ref="C47:D47"/>
    <mergeCell ref="C31:D31"/>
    <mergeCell ref="A2:G2"/>
    <mergeCell ref="A3:H3"/>
    <mergeCell ref="A4:B4"/>
    <mergeCell ref="C4:F4"/>
    <mergeCell ref="C5:F5"/>
    <mergeCell ref="C7:D7"/>
    <mergeCell ref="C8:D8"/>
    <mergeCell ref="C19:D19"/>
    <mergeCell ref="C9:D9"/>
    <mergeCell ref="C13:D13"/>
    <mergeCell ref="C14:D14"/>
    <mergeCell ref="C15:D15"/>
    <mergeCell ref="C16:D16"/>
    <mergeCell ref="C17:D17"/>
    <mergeCell ref="C18:D18"/>
    <mergeCell ref="A9:A18"/>
    <mergeCell ref="C11:D11"/>
    <mergeCell ref="C6:F6"/>
    <mergeCell ref="C10:D10"/>
    <mergeCell ref="C12:D12"/>
    <mergeCell ref="C38:D38"/>
    <mergeCell ref="C36:D36"/>
    <mergeCell ref="C25:D25"/>
    <mergeCell ref="C79:D79"/>
    <mergeCell ref="C118:D118"/>
    <mergeCell ref="C107:D107"/>
    <mergeCell ref="C29:D29"/>
    <mergeCell ref="C32:D32"/>
    <mergeCell ref="C57:D57"/>
    <mergeCell ref="C91:D91"/>
    <mergeCell ref="A77:H77"/>
    <mergeCell ref="A78:B78"/>
    <mergeCell ref="A79:B79"/>
    <mergeCell ref="C86:D86"/>
    <mergeCell ref="C81:D81"/>
    <mergeCell ref="C96:D96"/>
    <mergeCell ref="C114:D114"/>
    <mergeCell ref="C108:D108"/>
    <mergeCell ref="C109:D109"/>
    <mergeCell ref="C72:D72"/>
    <mergeCell ref="C52:D52"/>
    <mergeCell ref="C53:D53"/>
    <mergeCell ref="C55:D55"/>
    <mergeCell ref="C80:D80"/>
    <mergeCell ref="P29:P44"/>
    <mergeCell ref="Q29:Q44"/>
    <mergeCell ref="R29:R44"/>
    <mergeCell ref="C142:D142"/>
    <mergeCell ref="C132:D132"/>
    <mergeCell ref="C137:D137"/>
    <mergeCell ref="C93:D93"/>
    <mergeCell ref="C95:D95"/>
    <mergeCell ref="C116:D116"/>
    <mergeCell ref="C111:D111"/>
    <mergeCell ref="C117:D117"/>
    <mergeCell ref="C105:D105"/>
    <mergeCell ref="C104:D104"/>
    <mergeCell ref="C92:D92"/>
    <mergeCell ref="C71:D71"/>
    <mergeCell ref="C60:D60"/>
    <mergeCell ref="C83:D83"/>
    <mergeCell ref="C84:D84"/>
    <mergeCell ref="C85:D85"/>
    <mergeCell ref="C35:D35"/>
    <mergeCell ref="A76:G76"/>
    <mergeCell ref="C112:D112"/>
    <mergeCell ref="C115:D115"/>
    <mergeCell ref="C124:D124"/>
    <mergeCell ref="C168:D168"/>
    <mergeCell ref="C136:D136"/>
    <mergeCell ref="C143:D143"/>
    <mergeCell ref="C158:D158"/>
    <mergeCell ref="M28:N28"/>
    <mergeCell ref="M29:M44"/>
    <mergeCell ref="N29:O29"/>
    <mergeCell ref="C148:D148"/>
    <mergeCell ref="C160:D160"/>
    <mergeCell ref="C150:D150"/>
    <mergeCell ref="C126:D126"/>
    <mergeCell ref="C119:D119"/>
    <mergeCell ref="C90:D90"/>
    <mergeCell ref="C97:D97"/>
    <mergeCell ref="C99:D99"/>
    <mergeCell ref="C102:D102"/>
    <mergeCell ref="C100:D100"/>
    <mergeCell ref="C101:D101"/>
    <mergeCell ref="C103:D103"/>
    <mergeCell ref="C110:D110"/>
    <mergeCell ref="C94:D94"/>
    <mergeCell ref="C106:D106"/>
    <mergeCell ref="C113:D113"/>
    <mergeCell ref="F72:G72"/>
    <mergeCell ref="C166:D166"/>
    <mergeCell ref="C152:D152"/>
    <mergeCell ref="C157:D157"/>
    <mergeCell ref="C161:D161"/>
    <mergeCell ref="C135:D135"/>
    <mergeCell ref="C141:D141"/>
    <mergeCell ref="C139:D139"/>
    <mergeCell ref="C131:D131"/>
    <mergeCell ref="C163:D163"/>
    <mergeCell ref="C159:D159"/>
    <mergeCell ref="C149:D149"/>
    <mergeCell ref="B174:D174"/>
    <mergeCell ref="A83:A174"/>
    <mergeCell ref="C169:D169"/>
    <mergeCell ref="C170:D170"/>
    <mergeCell ref="C171:D171"/>
    <mergeCell ref="C173:D173"/>
    <mergeCell ref="C167:D167"/>
    <mergeCell ref="C122:D122"/>
    <mergeCell ref="C123:D123"/>
    <mergeCell ref="C138:D138"/>
    <mergeCell ref="C146:D146"/>
    <mergeCell ref="C147:D147"/>
    <mergeCell ref="C145:D145"/>
    <mergeCell ref="C164:D164"/>
    <mergeCell ref="C162:D162"/>
    <mergeCell ref="C151:D151"/>
    <mergeCell ref="C153:D153"/>
    <mergeCell ref="C154:D154"/>
    <mergeCell ref="C155:D155"/>
    <mergeCell ref="C156:D156"/>
    <mergeCell ref="C172:D172"/>
    <mergeCell ref="C165:D165"/>
    <mergeCell ref="C128:D128"/>
    <mergeCell ref="C140:D140"/>
    <mergeCell ref="C129:D129"/>
    <mergeCell ref="C130:D130"/>
    <mergeCell ref="C144:D144"/>
    <mergeCell ref="C133:D133"/>
    <mergeCell ref="C134:D134"/>
    <mergeCell ref="C87:D87"/>
    <mergeCell ref="C78:D78"/>
    <mergeCell ref="C82:D82"/>
    <mergeCell ref="C127:D127"/>
    <mergeCell ref="C88:D88"/>
    <mergeCell ref="C89:D89"/>
    <mergeCell ref="C98:D98"/>
    <mergeCell ref="C120:D120"/>
    <mergeCell ref="C125:D125"/>
    <mergeCell ref="C121:D121"/>
  </mergeCells>
  <phoneticPr fontId="32" type="noConversion"/>
  <conditionalFormatting sqref="H70:H71 G66:G67 F61:F69 F48:G54 F42:H42 G10:G18 G55:G63 H153:H173 H83:H151">
    <cfRule type="cellIs" dxfId="41" priority="35" stopIfTrue="1" operator="between">
      <formula>0</formula>
      <formula>0</formula>
    </cfRule>
  </conditionalFormatting>
  <conditionalFormatting sqref="F82:H82 G94 F83:F130">
    <cfRule type="cellIs" dxfId="40" priority="36" stopIfTrue="1" operator="between">
      <formula>0</formula>
      <formula>0</formula>
    </cfRule>
    <cfRule type="cellIs" priority="37" stopIfTrue="1" operator="between">
      <formula>0</formula>
      <formula>0</formula>
    </cfRule>
  </conditionalFormatting>
  <conditionalFormatting sqref="F138:F141">
    <cfRule type="cellIs" dxfId="39" priority="1" stopIfTrue="1" operator="between">
      <formula>0</formula>
      <formula>0</formula>
    </cfRule>
    <cfRule type="cellIs" priority="2" stopIfTrue="1" operator="between">
      <formula>0</formula>
      <formula>0</formula>
    </cfRule>
  </conditionalFormatting>
  <dataValidations count="8">
    <dataValidation type="whole" operator="greaterThanOrEqual" allowBlank="1" showInputMessage="1" showErrorMessage="1" sqref="F50 F19:G19 F9:F18 G9:H9 F34:F40 F41:H41 H48:H49 F70:F71 G64:G65 F55:F60 G68:H69 F43:H47 H52:H67 H10:H40 F82:H173">
      <formula1>0</formula1>
      <formula2>0</formula2>
    </dataValidation>
    <dataValidation type="whole" allowBlank="1" showInputMessage="1" sqref="F72:G72">
      <formula1>1000000000000</formula1>
      <formula2>9999999999999</formula2>
    </dataValidation>
    <dataValidation type="whole" operator="greaterThanOrEqual" allowBlank="1" showInputMessage="1" sqref="H50">
      <formula1>0</formula1>
    </dataValidation>
    <dataValidation type="whole" operator="equal" showInputMessage="1" sqref="H5">
      <formula1>0</formula1>
    </dataValidation>
    <dataValidation type="whole" errorStyle="information" operator="equal" showInputMessage="1" sqref="C5:F5">
      <formula1>0</formula1>
    </dataValidation>
    <dataValidation operator="greaterThanOrEqual" allowBlank="1" showInputMessage="1" showErrorMessage="1" sqref="H51"/>
    <dataValidation type="list" allowBlank="1" showInputMessage="1" showErrorMessage="1" sqref="H6">
      <formula1>"RTO-I,RTO-II,RTO-III"</formula1>
    </dataValidation>
    <dataValidation type="list" allowBlank="1" showInputMessage="1" showErrorMessage="1" sqref="I153:I159">
      <formula1>"Plot,Flat,Constructed"</formula1>
    </dataValidation>
  </dataValidations>
  <printOptions horizontalCentered="1"/>
  <pageMargins left="0.25" right="0.25" top="0.18229166666666666" bottom="0.25" header="0.51180555555555596" footer="0.51180555555555596"/>
  <pageSetup paperSize="5" scale="70" firstPageNumber="0" fitToHeight="0" orientation="portrait" horizontalDpi="300" verticalDpi="300" r:id="rId1"/>
  <headerFooter alignWithMargins="0"/>
  <rowBreaks count="1" manualBreakCount="1">
    <brk id="76" max="7"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pageSetUpPr fitToPage="1"/>
  </sheetPr>
  <dimension ref="A1:U90"/>
  <sheetViews>
    <sheetView workbookViewId="0">
      <selection activeCell="C3" sqref="C3:G3"/>
    </sheetView>
  </sheetViews>
  <sheetFormatPr defaultColWidth="2.5546875" defaultRowHeight="18" customHeight="1" x14ac:dyDescent="0.25"/>
  <cols>
    <col min="1" max="1" width="4.109375" style="25" customWidth="1"/>
    <col min="2" max="2" width="4.109375" style="27" customWidth="1"/>
    <col min="3" max="6" width="18.44140625" style="25" customWidth="1"/>
    <col min="7" max="7" width="9.5546875" style="28" customWidth="1"/>
    <col min="8" max="8" width="18.44140625" style="45" customWidth="1"/>
    <col min="9" max="9" width="18.44140625" style="25" customWidth="1"/>
    <col min="10" max="10" width="14" style="25" customWidth="1"/>
    <col min="11" max="11" width="3.33203125" style="46" customWidth="1"/>
    <col min="12" max="12" width="23.5546875" style="46" customWidth="1"/>
    <col min="13" max="13" width="15.33203125" style="46" customWidth="1"/>
    <col min="14" max="14" width="12.88671875" style="46" customWidth="1"/>
    <col min="15" max="17" width="20.109375" style="46" customWidth="1"/>
    <col min="18" max="19" width="12.44140625" style="46" customWidth="1"/>
    <col min="20" max="20" width="6.6640625" style="46" customWidth="1"/>
    <col min="21" max="16384" width="2.5546875" style="46"/>
  </cols>
  <sheetData>
    <row r="1" spans="1:10" s="25" customFormat="1" ht="13.2" x14ac:dyDescent="0.25">
      <c r="A1" s="907" t="s">
        <v>94</v>
      </c>
      <c r="B1" s="908"/>
      <c r="C1" s="908"/>
      <c r="D1" s="908"/>
      <c r="E1" s="908"/>
      <c r="F1" s="908"/>
      <c r="G1" s="908"/>
      <c r="H1" s="908"/>
      <c r="I1" s="909"/>
    </row>
    <row r="2" spans="1:10" s="25" customFormat="1" ht="18" customHeight="1" x14ac:dyDescent="0.25">
      <c r="A2" s="910" t="s">
        <v>371</v>
      </c>
      <c r="B2" s="911"/>
      <c r="C2" s="911"/>
      <c r="D2" s="911"/>
      <c r="E2" s="911"/>
      <c r="F2" s="911"/>
      <c r="G2" s="911"/>
      <c r="H2" s="911"/>
      <c r="I2" s="912"/>
    </row>
    <row r="3" spans="1:10" s="48" customFormat="1" ht="18" customHeight="1" x14ac:dyDescent="0.25">
      <c r="A3" s="898" t="s">
        <v>37</v>
      </c>
      <c r="B3" s="899"/>
      <c r="C3" s="900" t="str">
        <f>+'IND (BUS PLUS)'!C4:F4</f>
        <v>MUHAMMAD RAHIL IQBAL</v>
      </c>
      <c r="D3" s="900"/>
      <c r="E3" s="900"/>
      <c r="F3" s="900"/>
      <c r="G3" s="900"/>
      <c r="H3" s="47" t="s">
        <v>38</v>
      </c>
      <c r="I3" s="545" t="str">
        <f>PROFILE!AU7</f>
        <v>2024</v>
      </c>
    </row>
    <row r="4" spans="1:10" s="48" customFormat="1" ht="18" customHeight="1" x14ac:dyDescent="0.25">
      <c r="A4" s="898" t="s">
        <v>39</v>
      </c>
      <c r="B4" s="899"/>
      <c r="C4" s="900" t="str">
        <f>+'IND (BUS PLUS)'!C5:F5</f>
        <v>-</v>
      </c>
      <c r="D4" s="900"/>
      <c r="E4" s="900"/>
      <c r="F4" s="900"/>
      <c r="G4" s="900"/>
      <c r="H4" s="47" t="s">
        <v>40</v>
      </c>
      <c r="I4" s="546" t="str">
        <f>+'IND (BUS PLUS)'!H5</f>
        <v>-</v>
      </c>
    </row>
    <row r="5" spans="1:10" s="27" customFormat="1" ht="26.4" x14ac:dyDescent="0.25">
      <c r="A5" s="547"/>
      <c r="B5" s="498" t="s">
        <v>42</v>
      </c>
      <c r="C5" s="901" t="s">
        <v>43</v>
      </c>
      <c r="D5" s="901"/>
      <c r="E5" s="901"/>
      <c r="F5" s="901"/>
      <c r="G5" s="49" t="s">
        <v>44</v>
      </c>
      <c r="H5" s="50" t="s">
        <v>63</v>
      </c>
      <c r="I5" s="548" t="s">
        <v>95</v>
      </c>
    </row>
    <row r="6" spans="1:10" s="27" customFormat="1" ht="18" customHeight="1" x14ac:dyDescent="0.25">
      <c r="A6" s="547"/>
      <c r="B6" s="498"/>
      <c r="C6" s="897"/>
      <c r="D6" s="897"/>
      <c r="E6" s="897"/>
      <c r="F6" s="897"/>
      <c r="G6" s="49"/>
      <c r="H6" s="50" t="s">
        <v>47</v>
      </c>
      <c r="I6" s="548" t="s">
        <v>48</v>
      </c>
    </row>
    <row r="7" spans="1:10" ht="20.25" customHeight="1" x14ac:dyDescent="0.25">
      <c r="A7" s="549"/>
      <c r="B7" s="51">
        <v>1</v>
      </c>
      <c r="C7" s="902" t="s">
        <v>698</v>
      </c>
      <c r="D7" s="902"/>
      <c r="E7" s="902"/>
      <c r="F7" s="902"/>
      <c r="G7" s="16">
        <v>640000</v>
      </c>
      <c r="H7" s="24"/>
      <c r="I7" s="550">
        <f>SUM(I8:I46)</f>
        <v>0</v>
      </c>
      <c r="J7" s="46"/>
    </row>
    <row r="8" spans="1:10" ht="20.25" customHeight="1" x14ac:dyDescent="0.25">
      <c r="A8" s="903"/>
      <c r="B8" s="190">
        <f>+B7+1</f>
        <v>2</v>
      </c>
      <c r="C8" s="914" t="s">
        <v>84</v>
      </c>
      <c r="D8" s="914"/>
      <c r="E8" s="914"/>
      <c r="F8" s="914"/>
      <c r="G8" s="309">
        <v>64010002</v>
      </c>
      <c r="H8" s="24"/>
      <c r="I8" s="550">
        <f>H8*1%</f>
        <v>0</v>
      </c>
      <c r="J8" s="46"/>
    </row>
    <row r="9" spans="1:10" ht="20.25" customHeight="1" x14ac:dyDescent="0.25">
      <c r="A9" s="904"/>
      <c r="B9" s="190">
        <f t="shared" ref="B9:B46" si="0">+B8+1</f>
        <v>3</v>
      </c>
      <c r="C9" s="914" t="s">
        <v>85</v>
      </c>
      <c r="D9" s="914"/>
      <c r="E9" s="914"/>
      <c r="F9" s="914"/>
      <c r="G9" s="309">
        <v>64010004</v>
      </c>
      <c r="H9" s="24"/>
      <c r="I9" s="550">
        <f>H9*2%</f>
        <v>0</v>
      </c>
      <c r="J9" s="46"/>
    </row>
    <row r="10" spans="1:10" ht="20.25" customHeight="1" x14ac:dyDescent="0.25">
      <c r="A10" s="904"/>
      <c r="B10" s="190">
        <f t="shared" si="0"/>
        <v>4</v>
      </c>
      <c r="C10" s="914" t="s">
        <v>86</v>
      </c>
      <c r="D10" s="914"/>
      <c r="E10" s="914"/>
      <c r="F10" s="914"/>
      <c r="G10" s="309">
        <v>64010006</v>
      </c>
      <c r="H10" s="24"/>
      <c r="I10" s="550">
        <f>H10*3%</f>
        <v>0</v>
      </c>
      <c r="J10" s="46"/>
    </row>
    <row r="11" spans="1:10" ht="20.25" customHeight="1" x14ac:dyDescent="0.25">
      <c r="A11" s="904"/>
      <c r="B11" s="190">
        <f t="shared" si="0"/>
        <v>5</v>
      </c>
      <c r="C11" s="914" t="s">
        <v>720</v>
      </c>
      <c r="D11" s="914"/>
      <c r="E11" s="914"/>
      <c r="F11" s="914"/>
      <c r="G11" s="333">
        <v>64010084</v>
      </c>
      <c r="H11" s="24"/>
      <c r="I11" s="550">
        <f>H11*3.5%</f>
        <v>0</v>
      </c>
      <c r="J11" s="46"/>
    </row>
    <row r="12" spans="1:10" ht="20.25" customHeight="1" x14ac:dyDescent="0.25">
      <c r="A12" s="904"/>
      <c r="B12" s="190">
        <f t="shared" si="0"/>
        <v>6</v>
      </c>
      <c r="C12" s="914" t="s">
        <v>594</v>
      </c>
      <c r="D12" s="914"/>
      <c r="E12" s="914"/>
      <c r="F12" s="914"/>
      <c r="G12" s="333">
        <v>64010008</v>
      </c>
      <c r="H12" s="24"/>
      <c r="I12" s="550">
        <f>H12*4.5%</f>
        <v>0</v>
      </c>
      <c r="J12" s="46"/>
    </row>
    <row r="13" spans="1:10" ht="20.25" customHeight="1" x14ac:dyDescent="0.25">
      <c r="A13" s="904"/>
      <c r="B13" s="190">
        <f t="shared" si="0"/>
        <v>7</v>
      </c>
      <c r="C13" s="897" t="s">
        <v>419</v>
      </c>
      <c r="D13" s="897"/>
      <c r="E13" s="897"/>
      <c r="F13" s="897"/>
      <c r="G13" s="23">
        <v>64010011</v>
      </c>
      <c r="H13" s="24"/>
      <c r="I13" s="550">
        <f>H13*5.5%</f>
        <v>0</v>
      </c>
      <c r="J13" s="46"/>
    </row>
    <row r="14" spans="1:10" ht="20.25" customHeight="1" x14ac:dyDescent="0.25">
      <c r="A14" s="904"/>
      <c r="B14" s="190">
        <f t="shared" si="0"/>
        <v>8</v>
      </c>
      <c r="C14" s="913" t="s">
        <v>601</v>
      </c>
      <c r="D14" s="913"/>
      <c r="E14" s="913"/>
      <c r="F14" s="913"/>
      <c r="G14" s="23">
        <v>64020005</v>
      </c>
      <c r="H14" s="24"/>
      <c r="I14" s="550">
        <f>H14*20%</f>
        <v>0</v>
      </c>
      <c r="J14" s="46"/>
    </row>
    <row r="15" spans="1:10" ht="20.25" customHeight="1" x14ac:dyDescent="0.25">
      <c r="A15" s="904"/>
      <c r="B15" s="190">
        <f t="shared" si="0"/>
        <v>9</v>
      </c>
      <c r="C15" s="894" t="s">
        <v>699</v>
      </c>
      <c r="D15" s="895"/>
      <c r="E15" s="895"/>
      <c r="F15" s="896"/>
      <c r="G15" s="333">
        <v>64040005</v>
      </c>
      <c r="H15" s="24"/>
      <c r="I15" s="550">
        <f>H15*15%</f>
        <v>0</v>
      </c>
      <c r="J15" s="46"/>
    </row>
    <row r="16" spans="1:10" s="52" customFormat="1" ht="20.25" customHeight="1" x14ac:dyDescent="0.25">
      <c r="A16" s="904"/>
      <c r="B16" s="190">
        <f t="shared" si="0"/>
        <v>10</v>
      </c>
      <c r="C16" s="913" t="s">
        <v>97</v>
      </c>
      <c r="D16" s="913"/>
      <c r="E16" s="913"/>
      <c r="F16" s="913"/>
      <c r="G16" s="23">
        <v>64050007</v>
      </c>
      <c r="H16" s="24"/>
      <c r="I16" s="550"/>
    </row>
    <row r="17" spans="1:10" ht="20.25" customHeight="1" x14ac:dyDescent="0.25">
      <c r="A17" s="904"/>
      <c r="B17" s="190">
        <f t="shared" si="0"/>
        <v>11</v>
      </c>
      <c r="C17" s="920" t="s">
        <v>96</v>
      </c>
      <c r="D17" s="920"/>
      <c r="E17" s="920"/>
      <c r="F17" s="920"/>
      <c r="G17" s="23">
        <v>64050008</v>
      </c>
      <c r="H17" s="24"/>
      <c r="I17" s="550"/>
      <c r="J17" s="46"/>
    </row>
    <row r="18" spans="1:10" s="317" customFormat="1" ht="20.25" customHeight="1" x14ac:dyDescent="0.25">
      <c r="A18" s="904"/>
      <c r="B18" s="190">
        <f t="shared" si="0"/>
        <v>12</v>
      </c>
      <c r="C18" s="922" t="s">
        <v>98</v>
      </c>
      <c r="D18" s="923"/>
      <c r="E18" s="923"/>
      <c r="F18" s="924"/>
      <c r="G18" s="316">
        <v>64050009</v>
      </c>
      <c r="H18" s="24"/>
      <c r="I18" s="550"/>
    </row>
    <row r="19" spans="1:10" ht="20.25" customHeight="1" x14ac:dyDescent="0.25">
      <c r="A19" s="904"/>
      <c r="B19" s="190">
        <f t="shared" si="0"/>
        <v>13</v>
      </c>
      <c r="C19" s="925" t="s">
        <v>99</v>
      </c>
      <c r="D19" s="925"/>
      <c r="E19" s="925"/>
      <c r="F19" s="925"/>
      <c r="G19" s="23">
        <v>64050012</v>
      </c>
      <c r="H19" s="24"/>
      <c r="I19" s="550"/>
      <c r="J19" s="46"/>
    </row>
    <row r="20" spans="1:10" ht="20.25" customHeight="1" x14ac:dyDescent="0.25">
      <c r="A20" s="904"/>
      <c r="B20" s="190">
        <f t="shared" si="0"/>
        <v>14</v>
      </c>
      <c r="C20" s="905" t="s">
        <v>89</v>
      </c>
      <c r="D20" s="905"/>
      <c r="E20" s="905"/>
      <c r="F20" s="905"/>
      <c r="G20" s="333">
        <v>64060002</v>
      </c>
      <c r="H20" s="24"/>
      <c r="I20" s="550">
        <f>H20*1%</f>
        <v>0</v>
      </c>
      <c r="J20" s="46"/>
    </row>
    <row r="21" spans="1:10" ht="20.25" customHeight="1" x14ac:dyDescent="0.25">
      <c r="A21" s="904"/>
      <c r="B21" s="190">
        <f t="shared" si="0"/>
        <v>15</v>
      </c>
      <c r="C21" s="905" t="s">
        <v>90</v>
      </c>
      <c r="D21" s="905"/>
      <c r="E21" s="905"/>
      <c r="F21" s="905"/>
      <c r="G21" s="333">
        <v>64060003</v>
      </c>
      <c r="H21" s="24"/>
      <c r="I21" s="550">
        <f>H21*1.5%</f>
        <v>0</v>
      </c>
      <c r="J21" s="46"/>
    </row>
    <row r="22" spans="1:10" ht="20.25" customHeight="1" x14ac:dyDescent="0.25">
      <c r="A22" s="904"/>
      <c r="B22" s="190">
        <f t="shared" si="0"/>
        <v>16</v>
      </c>
      <c r="C22" s="905" t="s">
        <v>588</v>
      </c>
      <c r="D22" s="905"/>
      <c r="E22" s="905"/>
      <c r="F22" s="905"/>
      <c r="G22" s="333">
        <v>64060005</v>
      </c>
      <c r="H22" s="24"/>
      <c r="I22" s="550">
        <f>H22*3%</f>
        <v>0</v>
      </c>
      <c r="J22" s="46"/>
    </row>
    <row r="23" spans="1:10" ht="20.25" customHeight="1" x14ac:dyDescent="0.25">
      <c r="A23" s="904"/>
      <c r="B23" s="190">
        <f t="shared" si="0"/>
        <v>17</v>
      </c>
      <c r="C23" s="905" t="s">
        <v>91</v>
      </c>
      <c r="D23" s="905"/>
      <c r="E23" s="905"/>
      <c r="F23" s="905"/>
      <c r="G23" s="333">
        <v>64060009</v>
      </c>
      <c r="H23" s="24"/>
      <c r="I23" s="550">
        <f>H23*4.5%</f>
        <v>0</v>
      </c>
      <c r="J23" s="46"/>
    </row>
    <row r="24" spans="1:10" ht="20.25" customHeight="1" x14ac:dyDescent="0.25">
      <c r="A24" s="904"/>
      <c r="B24" s="190">
        <f t="shared" si="0"/>
        <v>18</v>
      </c>
      <c r="C24" s="906" t="s">
        <v>420</v>
      </c>
      <c r="D24" s="906"/>
      <c r="E24" s="906"/>
      <c r="F24" s="906"/>
      <c r="G24" s="23">
        <v>64100301</v>
      </c>
      <c r="H24" s="24"/>
      <c r="I24" s="550"/>
      <c r="J24" s="46"/>
    </row>
    <row r="25" spans="1:10" ht="20.25" customHeight="1" x14ac:dyDescent="0.25">
      <c r="A25" s="904"/>
      <c r="B25" s="190">
        <f t="shared" si="0"/>
        <v>19</v>
      </c>
      <c r="C25" s="906" t="s">
        <v>421</v>
      </c>
      <c r="D25" s="906"/>
      <c r="E25" s="906"/>
      <c r="F25" s="906"/>
      <c r="G25" s="23">
        <v>64100302</v>
      </c>
      <c r="H25" s="24"/>
      <c r="I25" s="550"/>
      <c r="J25" s="46"/>
    </row>
    <row r="26" spans="1:10" ht="20.25" customHeight="1" x14ac:dyDescent="0.25">
      <c r="A26" s="904"/>
      <c r="B26" s="190">
        <f t="shared" si="0"/>
        <v>20</v>
      </c>
      <c r="C26" s="906" t="s">
        <v>422</v>
      </c>
      <c r="D26" s="906"/>
      <c r="E26" s="906"/>
      <c r="F26" s="906"/>
      <c r="G26" s="23">
        <v>64100303</v>
      </c>
      <c r="H26" s="24"/>
      <c r="I26" s="550"/>
      <c r="J26" s="46"/>
    </row>
    <row r="27" spans="1:10" ht="20.25" customHeight="1" x14ac:dyDescent="0.25">
      <c r="A27" s="904"/>
      <c r="B27" s="190">
        <f t="shared" si="0"/>
        <v>21</v>
      </c>
      <c r="C27" s="906" t="s">
        <v>587</v>
      </c>
      <c r="D27" s="906"/>
      <c r="E27" s="906"/>
      <c r="F27" s="906"/>
      <c r="G27" s="23">
        <v>64100304</v>
      </c>
      <c r="H27" s="24"/>
      <c r="I27" s="550"/>
      <c r="J27" s="46"/>
    </row>
    <row r="28" spans="1:10" ht="20.25" customHeight="1" x14ac:dyDescent="0.25">
      <c r="A28" s="904"/>
      <c r="B28" s="190">
        <f t="shared" si="0"/>
        <v>22</v>
      </c>
      <c r="C28" s="906" t="s">
        <v>423</v>
      </c>
      <c r="D28" s="906"/>
      <c r="E28" s="906"/>
      <c r="F28" s="906"/>
      <c r="G28" s="23">
        <v>64130001</v>
      </c>
      <c r="H28" s="24"/>
      <c r="I28" s="550"/>
      <c r="J28" s="46"/>
    </row>
    <row r="29" spans="1:10" ht="20.25" customHeight="1" x14ac:dyDescent="0.25">
      <c r="A29" s="904"/>
      <c r="B29" s="190">
        <f t="shared" si="0"/>
        <v>23</v>
      </c>
      <c r="C29" s="906" t="s">
        <v>424</v>
      </c>
      <c r="D29" s="906"/>
      <c r="E29" s="906"/>
      <c r="F29" s="906"/>
      <c r="G29" s="23">
        <v>64130002</v>
      </c>
      <c r="H29" s="24"/>
      <c r="I29" s="550"/>
      <c r="J29" s="46"/>
    </row>
    <row r="30" spans="1:10" ht="20.25" customHeight="1" x14ac:dyDescent="0.25">
      <c r="A30" s="904"/>
      <c r="B30" s="190">
        <f t="shared" si="0"/>
        <v>24</v>
      </c>
      <c r="C30" s="906" t="s">
        <v>425</v>
      </c>
      <c r="D30" s="906"/>
      <c r="E30" s="906"/>
      <c r="F30" s="906"/>
      <c r="G30" s="23">
        <v>64130003</v>
      </c>
      <c r="H30" s="24"/>
      <c r="I30" s="550"/>
      <c r="J30" s="46"/>
    </row>
    <row r="31" spans="1:10" ht="20.25" customHeight="1" x14ac:dyDescent="0.25">
      <c r="A31" s="904"/>
      <c r="B31" s="190">
        <f t="shared" si="0"/>
        <v>25</v>
      </c>
      <c r="C31" s="921" t="s">
        <v>367</v>
      </c>
      <c r="D31" s="921"/>
      <c r="E31" s="921"/>
      <c r="F31" s="921"/>
      <c r="G31" s="23">
        <v>64140101</v>
      </c>
      <c r="H31" s="24"/>
      <c r="I31" s="550">
        <f>'Work Sheet'!I4</f>
        <v>0</v>
      </c>
      <c r="J31" s="46"/>
    </row>
    <row r="32" spans="1:10" ht="20.25" customHeight="1" x14ac:dyDescent="0.25">
      <c r="A32" s="904"/>
      <c r="B32" s="190">
        <f t="shared" si="0"/>
        <v>26</v>
      </c>
      <c r="C32" s="906" t="s">
        <v>426</v>
      </c>
      <c r="D32" s="906"/>
      <c r="E32" s="906"/>
      <c r="F32" s="906"/>
      <c r="G32" s="23">
        <v>64150001</v>
      </c>
      <c r="H32" s="24"/>
      <c r="I32" s="550">
        <f>'Work Sheet'!I5</f>
        <v>0</v>
      </c>
      <c r="J32" s="46"/>
    </row>
    <row r="33" spans="1:10" ht="20.25" customHeight="1" x14ac:dyDescent="0.25">
      <c r="A33" s="904"/>
      <c r="B33" s="190">
        <f t="shared" si="0"/>
        <v>27</v>
      </c>
      <c r="C33" s="906" t="s">
        <v>427</v>
      </c>
      <c r="D33" s="906"/>
      <c r="E33" s="906"/>
      <c r="F33" s="906"/>
      <c r="G33" s="23">
        <v>64150002</v>
      </c>
      <c r="H33" s="24"/>
      <c r="I33" s="550"/>
      <c r="J33" s="46"/>
    </row>
    <row r="34" spans="1:10" ht="20.25" customHeight="1" x14ac:dyDescent="0.25">
      <c r="A34" s="904"/>
      <c r="B34" s="190">
        <f t="shared" si="0"/>
        <v>28</v>
      </c>
      <c r="C34" s="906" t="s">
        <v>428</v>
      </c>
      <c r="D34" s="906"/>
      <c r="E34" s="906"/>
      <c r="F34" s="906"/>
      <c r="G34" s="23">
        <v>64150003</v>
      </c>
      <c r="H34" s="24"/>
      <c r="I34" s="550"/>
      <c r="J34" s="46"/>
    </row>
    <row r="35" spans="1:10" ht="20.25" customHeight="1" x14ac:dyDescent="0.25">
      <c r="A35" s="904"/>
      <c r="B35" s="190">
        <f t="shared" si="0"/>
        <v>29</v>
      </c>
      <c r="C35" s="906" t="s">
        <v>431</v>
      </c>
      <c r="D35" s="906"/>
      <c r="E35" s="906"/>
      <c r="F35" s="906"/>
      <c r="G35" s="23">
        <v>64150004</v>
      </c>
      <c r="H35" s="24"/>
      <c r="I35" s="550"/>
      <c r="J35" s="46"/>
    </row>
    <row r="36" spans="1:10" ht="20.25" customHeight="1" x14ac:dyDescent="0.25">
      <c r="A36" s="904"/>
      <c r="B36" s="190">
        <f t="shared" si="0"/>
        <v>30</v>
      </c>
      <c r="C36" s="918" t="s">
        <v>518</v>
      </c>
      <c r="D36" s="919"/>
      <c r="E36" s="919"/>
      <c r="F36" s="919"/>
      <c r="G36" s="309">
        <v>64150005</v>
      </c>
      <c r="H36" s="24"/>
      <c r="I36" s="550"/>
      <c r="J36" s="46"/>
    </row>
    <row r="37" spans="1:10" ht="20.25" customHeight="1" x14ac:dyDescent="0.25">
      <c r="A37" s="904"/>
      <c r="B37" s="190">
        <f t="shared" si="0"/>
        <v>31</v>
      </c>
      <c r="C37" s="918" t="s">
        <v>519</v>
      </c>
      <c r="D37" s="919"/>
      <c r="E37" s="919"/>
      <c r="F37" s="919"/>
      <c r="G37" s="309">
        <v>64150006</v>
      </c>
      <c r="H37" s="24"/>
      <c r="I37" s="550"/>
      <c r="J37" s="46"/>
    </row>
    <row r="38" spans="1:10" ht="20.25" customHeight="1" x14ac:dyDescent="0.25">
      <c r="A38" s="904"/>
      <c r="B38" s="190">
        <f t="shared" si="0"/>
        <v>32</v>
      </c>
      <c r="C38" s="897" t="s">
        <v>100</v>
      </c>
      <c r="D38" s="897"/>
      <c r="E38" s="897"/>
      <c r="F38" s="897"/>
      <c r="G38" s="23">
        <v>64150101</v>
      </c>
      <c r="H38" s="24"/>
      <c r="I38" s="550"/>
      <c r="J38" s="46"/>
    </row>
    <row r="39" spans="1:10" ht="20.25" customHeight="1" x14ac:dyDescent="0.25">
      <c r="A39" s="904"/>
      <c r="B39" s="190">
        <f t="shared" si="0"/>
        <v>33</v>
      </c>
      <c r="C39" s="897" t="s">
        <v>101</v>
      </c>
      <c r="D39" s="897"/>
      <c r="E39" s="897"/>
      <c r="F39" s="897"/>
      <c r="G39" s="23">
        <v>64150301</v>
      </c>
      <c r="H39" s="24"/>
      <c r="I39" s="550"/>
      <c r="J39" s="46"/>
    </row>
    <row r="40" spans="1:10" ht="20.25" customHeight="1" x14ac:dyDescent="0.25">
      <c r="A40" s="904"/>
      <c r="B40" s="190">
        <f t="shared" si="0"/>
        <v>34</v>
      </c>
      <c r="C40" s="897" t="s">
        <v>723</v>
      </c>
      <c r="D40" s="897"/>
      <c r="E40" s="897"/>
      <c r="F40" s="897"/>
      <c r="G40" s="333">
        <v>64150407</v>
      </c>
      <c r="H40" s="24"/>
      <c r="I40" s="550"/>
      <c r="J40" s="46"/>
    </row>
    <row r="41" spans="1:10" ht="20.25" customHeight="1" x14ac:dyDescent="0.25">
      <c r="A41" s="904"/>
      <c r="B41" s="190">
        <f t="shared" si="0"/>
        <v>35</v>
      </c>
      <c r="C41" s="897" t="s">
        <v>430</v>
      </c>
      <c r="D41" s="897"/>
      <c r="E41" s="897"/>
      <c r="F41" s="897"/>
      <c r="G41" s="23">
        <v>64150701</v>
      </c>
      <c r="H41" s="24"/>
      <c r="I41" s="550"/>
      <c r="J41" s="46"/>
    </row>
    <row r="42" spans="1:10" ht="20.25" customHeight="1" x14ac:dyDescent="0.25">
      <c r="A42" s="904"/>
      <c r="B42" s="190">
        <f t="shared" si="0"/>
        <v>36</v>
      </c>
      <c r="C42" s="897" t="s">
        <v>429</v>
      </c>
      <c r="D42" s="897"/>
      <c r="E42" s="897"/>
      <c r="F42" s="897"/>
      <c r="G42" s="23">
        <v>64150702</v>
      </c>
      <c r="H42" s="24"/>
      <c r="I42" s="550"/>
      <c r="J42" s="46"/>
    </row>
    <row r="43" spans="1:10" ht="20.25" customHeight="1" x14ac:dyDescent="0.25">
      <c r="A43" s="904"/>
      <c r="B43" s="190">
        <f t="shared" si="0"/>
        <v>37</v>
      </c>
      <c r="C43" s="897" t="s">
        <v>103</v>
      </c>
      <c r="D43" s="897"/>
      <c r="E43" s="897"/>
      <c r="F43" s="897"/>
      <c r="G43" s="23">
        <v>64150801</v>
      </c>
      <c r="H43" s="24"/>
      <c r="I43" s="550"/>
      <c r="J43" s="46"/>
    </row>
    <row r="44" spans="1:10" ht="20.25" customHeight="1" x14ac:dyDescent="0.25">
      <c r="A44" s="904"/>
      <c r="B44" s="190">
        <f t="shared" si="0"/>
        <v>38</v>
      </c>
      <c r="C44" s="897" t="s">
        <v>724</v>
      </c>
      <c r="D44" s="897"/>
      <c r="E44" s="897"/>
      <c r="F44" s="897"/>
      <c r="G44" s="333">
        <v>64150804</v>
      </c>
      <c r="H44" s="24"/>
      <c r="I44" s="550"/>
      <c r="J44" s="46"/>
    </row>
    <row r="45" spans="1:10" ht="20.25" customHeight="1" x14ac:dyDescent="0.25">
      <c r="A45" s="904"/>
      <c r="B45" s="190">
        <f t="shared" si="0"/>
        <v>39</v>
      </c>
      <c r="C45" s="920" t="s">
        <v>102</v>
      </c>
      <c r="D45" s="920"/>
      <c r="E45" s="920"/>
      <c r="F45" s="920"/>
      <c r="G45" s="23">
        <v>64151101</v>
      </c>
      <c r="H45" s="24"/>
      <c r="I45" s="550"/>
      <c r="J45" s="46"/>
    </row>
    <row r="46" spans="1:10" ht="20.25" customHeight="1" x14ac:dyDescent="0.25">
      <c r="A46" s="904"/>
      <c r="B46" s="190">
        <f t="shared" si="0"/>
        <v>40</v>
      </c>
      <c r="C46" s="915" t="s">
        <v>725</v>
      </c>
      <c r="D46" s="916"/>
      <c r="E46" s="916"/>
      <c r="F46" s="917"/>
      <c r="G46" s="721">
        <v>64220160</v>
      </c>
      <c r="H46" s="24"/>
      <c r="I46" s="550"/>
      <c r="J46" s="46"/>
    </row>
    <row r="47" spans="1:10" customFormat="1" ht="16.2" thickBot="1" x14ac:dyDescent="0.35">
      <c r="A47" s="553" t="s">
        <v>70</v>
      </c>
      <c r="B47" s="554"/>
      <c r="C47" s="555"/>
      <c r="D47" s="890"/>
      <c r="E47" s="890"/>
      <c r="F47" s="891"/>
      <c r="G47" s="556"/>
      <c r="H47" s="892" t="s">
        <v>71</v>
      </c>
      <c r="I47" s="893"/>
      <c r="J47" s="552"/>
    </row>
    <row r="48" spans="1:10" ht="18" customHeight="1" x14ac:dyDescent="0.25">
      <c r="J48" s="46"/>
    </row>
    <row r="49" spans="10:10" ht="18" customHeight="1" x14ac:dyDescent="0.25">
      <c r="J49" s="46"/>
    </row>
    <row r="50" spans="10:10" ht="18" customHeight="1" x14ac:dyDescent="0.25">
      <c r="J50" s="46"/>
    </row>
    <row r="51" spans="10:10" ht="18" customHeight="1" x14ac:dyDescent="0.25">
      <c r="J51" s="46"/>
    </row>
    <row r="52" spans="10:10" ht="18" customHeight="1" x14ac:dyDescent="0.25">
      <c r="J52" s="46"/>
    </row>
    <row r="53" spans="10:10" ht="18" customHeight="1" x14ac:dyDescent="0.25">
      <c r="J53" s="46"/>
    </row>
    <row r="54" spans="10:10" ht="18" customHeight="1" x14ac:dyDescent="0.25">
      <c r="J54" s="46"/>
    </row>
    <row r="55" spans="10:10" ht="18" customHeight="1" x14ac:dyDescent="0.25">
      <c r="J55" s="46"/>
    </row>
    <row r="56" spans="10:10" ht="18" customHeight="1" x14ac:dyDescent="0.25">
      <c r="J56" s="46"/>
    </row>
    <row r="57" spans="10:10" ht="18" customHeight="1" x14ac:dyDescent="0.25">
      <c r="J57" s="46"/>
    </row>
    <row r="58" spans="10:10" ht="18" customHeight="1" x14ac:dyDescent="0.25">
      <c r="J58" s="46"/>
    </row>
    <row r="59" spans="10:10" ht="18" customHeight="1" x14ac:dyDescent="0.25">
      <c r="J59" s="46"/>
    </row>
    <row r="60" spans="10:10" ht="18" customHeight="1" x14ac:dyDescent="0.25">
      <c r="J60" s="46"/>
    </row>
    <row r="61" spans="10:10" ht="18" customHeight="1" x14ac:dyDescent="0.25">
      <c r="J61" s="46"/>
    </row>
    <row r="90" spans="11:21" ht="18" customHeight="1" x14ac:dyDescent="0.25">
      <c r="K90" s="55"/>
      <c r="L90" s="55"/>
      <c r="M90" s="55"/>
      <c r="N90" s="55"/>
      <c r="O90" s="55"/>
      <c r="P90" s="55"/>
      <c r="Q90" s="55"/>
      <c r="R90" s="55"/>
      <c r="S90" s="55"/>
      <c r="T90" s="55"/>
      <c r="U90" s="55"/>
    </row>
  </sheetData>
  <sheetProtection selectLockedCells="1" selectUnlockedCells="1"/>
  <mergeCells count="51">
    <mergeCell ref="C17:F17"/>
    <mergeCell ref="C31:F31"/>
    <mergeCell ref="C32:F32"/>
    <mergeCell ref="C28:F28"/>
    <mergeCell ref="C27:F27"/>
    <mergeCell ref="C24:F24"/>
    <mergeCell ref="C22:F22"/>
    <mergeCell ref="C23:F23"/>
    <mergeCell ref="C18:F18"/>
    <mergeCell ref="C19:F19"/>
    <mergeCell ref="C46:F46"/>
    <mergeCell ref="C43:F43"/>
    <mergeCell ref="C42:F42"/>
    <mergeCell ref="C25:F25"/>
    <mergeCell ref="C26:F26"/>
    <mergeCell ref="C44:F44"/>
    <mergeCell ref="C41:F41"/>
    <mergeCell ref="C38:F38"/>
    <mergeCell ref="C37:F37"/>
    <mergeCell ref="C36:F36"/>
    <mergeCell ref="C29:F29"/>
    <mergeCell ref="C30:F30"/>
    <mergeCell ref="C40:F40"/>
    <mergeCell ref="C45:F45"/>
    <mergeCell ref="A1:I1"/>
    <mergeCell ref="A2:I2"/>
    <mergeCell ref="A3:B3"/>
    <mergeCell ref="C3:G3"/>
    <mergeCell ref="C16:F16"/>
    <mergeCell ref="C8:F8"/>
    <mergeCell ref="C9:F9"/>
    <mergeCell ref="C10:F10"/>
    <mergeCell ref="C12:F12"/>
    <mergeCell ref="C14:F14"/>
    <mergeCell ref="C11:F11"/>
    <mergeCell ref="D47:F47"/>
    <mergeCell ref="H47:I47"/>
    <mergeCell ref="C15:F15"/>
    <mergeCell ref="C13:F13"/>
    <mergeCell ref="A4:B4"/>
    <mergeCell ref="C4:G4"/>
    <mergeCell ref="C5:F5"/>
    <mergeCell ref="C6:F6"/>
    <mergeCell ref="C7:F7"/>
    <mergeCell ref="A8:A46"/>
    <mergeCell ref="C20:F20"/>
    <mergeCell ref="C39:F39"/>
    <mergeCell ref="C33:F33"/>
    <mergeCell ref="C34:F34"/>
    <mergeCell ref="C35:F35"/>
    <mergeCell ref="C21:F21"/>
  </mergeCells>
  <phoneticPr fontId="32" type="noConversion"/>
  <conditionalFormatting sqref="H7:H16 H18:H37 H41 H45">
    <cfRule type="cellIs" dxfId="38" priority="20" stopIfTrue="1" operator="between">
      <formula>0</formula>
      <formula>0</formula>
    </cfRule>
  </conditionalFormatting>
  <conditionalFormatting sqref="I7:I13">
    <cfRule type="cellIs" dxfId="37" priority="21" stopIfTrue="1" operator="between">
      <formula>0</formula>
      <formula>0</formula>
    </cfRule>
    <cfRule type="cellIs" dxfId="36" priority="22" stopIfTrue="1" operator="between">
      <formula>0</formula>
      <formula>0</formula>
    </cfRule>
    <cfRule type="cellIs" dxfId="35" priority="23" stopIfTrue="1" operator="between">
      <formula>0</formula>
      <formula>0</formula>
    </cfRule>
  </conditionalFormatting>
  <conditionalFormatting sqref="H42">
    <cfRule type="cellIs" dxfId="34" priority="7" stopIfTrue="1" operator="between">
      <formula>0</formula>
      <formula>0</formula>
    </cfRule>
  </conditionalFormatting>
  <conditionalFormatting sqref="H47">
    <cfRule type="cellIs" dxfId="33" priority="1" stopIfTrue="1" operator="between">
      <formula>0</formula>
      <formula>0</formula>
    </cfRule>
    <cfRule type="cellIs" dxfId="32" priority="2" stopIfTrue="1" operator="between">
      <formula>0</formula>
      <formula>0</formula>
    </cfRule>
    <cfRule type="cellIs" dxfId="31" priority="3" stopIfTrue="1" operator="between">
      <formula>0</formula>
      <formula>0</formula>
    </cfRule>
  </conditionalFormatting>
  <dataValidations count="1">
    <dataValidation type="whole" operator="greaterThanOrEqual" allowBlank="1" showInputMessage="1" showErrorMessage="1" sqref="H7:I46">
      <formula1>0</formula1>
      <formula2>0</formula2>
    </dataValidation>
  </dataValidations>
  <printOptions horizontalCentered="1"/>
  <pageMargins left="0.25" right="0.25" top="0.25" bottom="0.25" header="0.51180555555555596" footer="0.51180555555555596"/>
  <pageSetup paperSize="5" scale="81" firstPageNumber="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pageSetUpPr fitToPage="1"/>
  </sheetPr>
  <dimension ref="A1:H83"/>
  <sheetViews>
    <sheetView workbookViewId="0">
      <selection activeCell="C5" sqref="C5:E5"/>
    </sheetView>
  </sheetViews>
  <sheetFormatPr defaultColWidth="10.109375" defaultRowHeight="21.9" customHeight="1" x14ac:dyDescent="0.25"/>
  <cols>
    <col min="1" max="1" width="4.109375" style="56" customWidth="1"/>
    <col min="2" max="2" width="4.88671875" style="56" customWidth="1"/>
    <col min="3" max="3" width="63.5546875" style="57" customWidth="1"/>
    <col min="4" max="4" width="9.5546875" style="58" customWidth="1"/>
    <col min="5" max="7" width="16.33203125" style="59" customWidth="1"/>
    <col min="8" max="9" width="11.33203125" style="60" customWidth="1"/>
    <col min="10" max="16384" width="10.109375" style="60"/>
  </cols>
  <sheetData>
    <row r="1" spans="1:7" ht="18" customHeight="1" x14ac:dyDescent="0.25">
      <c r="A1" s="940" t="s">
        <v>104</v>
      </c>
      <c r="B1" s="941"/>
      <c r="C1" s="941"/>
      <c r="D1" s="941"/>
      <c r="E1" s="941"/>
      <c r="F1" s="941"/>
      <c r="G1" s="509" t="s">
        <v>73</v>
      </c>
    </row>
    <row r="2" spans="1:7" ht="18" customHeight="1" x14ac:dyDescent="0.25">
      <c r="A2" s="942" t="s">
        <v>105</v>
      </c>
      <c r="B2" s="943"/>
      <c r="C2" s="943"/>
      <c r="D2" s="943"/>
      <c r="E2" s="943"/>
      <c r="F2" s="943"/>
      <c r="G2" s="944"/>
    </row>
    <row r="3" spans="1:7" ht="18" customHeight="1" x14ac:dyDescent="0.25">
      <c r="A3" s="945" t="s">
        <v>106</v>
      </c>
      <c r="B3" s="946"/>
      <c r="C3" s="946"/>
      <c r="D3" s="946"/>
      <c r="E3" s="946"/>
      <c r="F3" s="946"/>
      <c r="G3" s="947"/>
    </row>
    <row r="4" spans="1:7" s="62" customFormat="1" ht="18" customHeight="1" x14ac:dyDescent="0.25">
      <c r="A4" s="649" t="s">
        <v>37</v>
      </c>
      <c r="B4" s="61"/>
      <c r="C4" s="948" t="str">
        <f>IF('IND (BUS PLUS)'!$C$4="","",'IND (BUS PLUS)'!$C$4)</f>
        <v>MUHAMMAD RAHIL IQBAL</v>
      </c>
      <c r="D4" s="948"/>
      <c r="E4" s="948"/>
      <c r="F4" s="592" t="s">
        <v>38</v>
      </c>
      <c r="G4" s="658" t="str">
        <f>PROFILE!AU7</f>
        <v>2024</v>
      </c>
    </row>
    <row r="5" spans="1:7" s="62" customFormat="1" ht="18" customHeight="1" x14ac:dyDescent="0.25">
      <c r="A5" s="649" t="s">
        <v>39</v>
      </c>
      <c r="B5" s="61"/>
      <c r="C5" s="948" t="str">
        <f>+'Annex-A'!C4:G4</f>
        <v>-</v>
      </c>
      <c r="D5" s="948"/>
      <c r="E5" s="948"/>
      <c r="F5" s="592" t="s">
        <v>40</v>
      </c>
      <c r="G5" s="559" t="str">
        <f>+'IND (BUS PLUS)'!H5</f>
        <v>-</v>
      </c>
    </row>
    <row r="6" spans="1:7" s="62" customFormat="1" ht="21.9" customHeight="1" x14ac:dyDescent="0.25">
      <c r="A6" s="957" t="s">
        <v>107</v>
      </c>
      <c r="B6" s="958"/>
      <c r="C6" s="950" t="str">
        <f>+PROFILE!K4</f>
        <v>RAHIL IQBAL &amp; CO.</v>
      </c>
      <c r="D6" s="951"/>
      <c r="E6" s="951"/>
      <c r="F6" s="320"/>
      <c r="G6" s="659">
        <f>'IND (BUS PLUS)'!H6</f>
        <v>0</v>
      </c>
    </row>
    <row r="7" spans="1:7" s="56" customFormat="1" ht="36" x14ac:dyDescent="0.25">
      <c r="A7" s="651"/>
      <c r="B7" s="65" t="s">
        <v>42</v>
      </c>
      <c r="C7" s="66" t="s">
        <v>43</v>
      </c>
      <c r="D7" s="67" t="s">
        <v>44</v>
      </c>
      <c r="E7" s="13" t="s">
        <v>45</v>
      </c>
      <c r="F7" s="13" t="s">
        <v>108</v>
      </c>
      <c r="G7" s="652" t="s">
        <v>46</v>
      </c>
    </row>
    <row r="8" spans="1:7" s="56" customFormat="1" ht="18" customHeight="1" x14ac:dyDescent="0.25">
      <c r="A8" s="651"/>
      <c r="B8" s="68"/>
      <c r="C8" s="69"/>
      <c r="D8" s="67"/>
      <c r="E8" s="54" t="s">
        <v>47</v>
      </c>
      <c r="F8" s="54" t="s">
        <v>48</v>
      </c>
      <c r="G8" s="653" t="s">
        <v>49</v>
      </c>
    </row>
    <row r="9" spans="1:7" s="70" customFormat="1" ht="26.1" customHeight="1" x14ac:dyDescent="0.25">
      <c r="A9" s="949" t="s">
        <v>109</v>
      </c>
      <c r="B9" s="64">
        <v>1</v>
      </c>
      <c r="C9" s="150" t="s">
        <v>413</v>
      </c>
      <c r="D9" s="72">
        <v>3029</v>
      </c>
      <c r="E9" s="265">
        <f>E10-E11</f>
        <v>0</v>
      </c>
      <c r="F9" s="265">
        <f>+F10-F11</f>
        <v>0</v>
      </c>
      <c r="G9" s="660">
        <f>G10-G11</f>
        <v>0</v>
      </c>
    </row>
    <row r="10" spans="1:7" s="70" customFormat="1" ht="18" customHeight="1" x14ac:dyDescent="0.25">
      <c r="A10" s="949"/>
      <c r="B10" s="190">
        <f>+B9+1</f>
        <v>2</v>
      </c>
      <c r="C10" s="71" t="s">
        <v>403</v>
      </c>
      <c r="D10" s="72">
        <v>3009</v>
      </c>
      <c r="E10" s="24">
        <f>'Work Sheet'!D3</f>
        <v>0</v>
      </c>
      <c r="F10" s="24"/>
      <c r="G10" s="550">
        <f>+E10-F10</f>
        <v>0</v>
      </c>
    </row>
    <row r="11" spans="1:7" s="70" customFormat="1" ht="22.5" customHeight="1" x14ac:dyDescent="0.25">
      <c r="A11" s="949"/>
      <c r="B11" s="190">
        <f t="shared" ref="B11:B54" si="0">+B10+1</f>
        <v>3</v>
      </c>
      <c r="C11" s="296" t="s">
        <v>110</v>
      </c>
      <c r="D11" s="72">
        <v>3019</v>
      </c>
      <c r="E11" s="24">
        <f>'Work Sheet'!D4</f>
        <v>0</v>
      </c>
      <c r="F11" s="24"/>
      <c r="G11" s="550">
        <f>+E11-F11</f>
        <v>0</v>
      </c>
    </row>
    <row r="12" spans="1:7" s="70" customFormat="1" ht="18" customHeight="1" x14ac:dyDescent="0.25">
      <c r="A12" s="949" t="s">
        <v>111</v>
      </c>
      <c r="B12" s="190">
        <f t="shared" si="0"/>
        <v>4</v>
      </c>
      <c r="C12" s="151" t="s">
        <v>112</v>
      </c>
      <c r="D12" s="72">
        <v>3030</v>
      </c>
      <c r="E12" s="265">
        <f>+SUM(E13:E23)-E24</f>
        <v>0</v>
      </c>
      <c r="F12" s="265">
        <f>+SUM(F13:F23)-F24</f>
        <v>0</v>
      </c>
      <c r="G12" s="660">
        <f>+SUM(G13:G23)-G24</f>
        <v>0</v>
      </c>
    </row>
    <row r="13" spans="1:7" s="70" customFormat="1" ht="18" customHeight="1" x14ac:dyDescent="0.25">
      <c r="A13" s="949"/>
      <c r="B13" s="190">
        <f t="shared" si="0"/>
        <v>5</v>
      </c>
      <c r="C13" s="73" t="s">
        <v>113</v>
      </c>
      <c r="D13" s="72">
        <v>3039</v>
      </c>
      <c r="E13" s="24">
        <f>'Work Sheet'!D6</f>
        <v>0</v>
      </c>
      <c r="F13" s="24"/>
      <c r="G13" s="550">
        <f>+E13-F13</f>
        <v>0</v>
      </c>
    </row>
    <row r="14" spans="1:7" s="70" customFormat="1" ht="18" customHeight="1" x14ac:dyDescent="0.25">
      <c r="A14" s="949"/>
      <c r="B14" s="190">
        <f t="shared" si="0"/>
        <v>6</v>
      </c>
      <c r="C14" s="73" t="s">
        <v>114</v>
      </c>
      <c r="D14" s="72">
        <v>3059</v>
      </c>
      <c r="E14" s="24">
        <f>'Work Sheet'!D7</f>
        <v>0</v>
      </c>
      <c r="F14" s="24"/>
      <c r="G14" s="550">
        <f t="shared" ref="G14:G24" si="1">+E14-F14</f>
        <v>0</v>
      </c>
    </row>
    <row r="15" spans="1:7" s="70" customFormat="1" ht="18" customHeight="1" x14ac:dyDescent="0.25">
      <c r="A15" s="949"/>
      <c r="B15" s="190">
        <f t="shared" si="0"/>
        <v>7</v>
      </c>
      <c r="C15" s="73" t="s">
        <v>115</v>
      </c>
      <c r="D15" s="72">
        <v>3071</v>
      </c>
      <c r="E15" s="24">
        <f>'Work Sheet'!D23</f>
        <v>0</v>
      </c>
      <c r="F15" s="24"/>
      <c r="G15" s="550">
        <f t="shared" si="1"/>
        <v>0</v>
      </c>
    </row>
    <row r="16" spans="1:7" s="70" customFormat="1" ht="18" customHeight="1" x14ac:dyDescent="0.25">
      <c r="A16" s="949"/>
      <c r="B16" s="190">
        <f t="shared" si="0"/>
        <v>8</v>
      </c>
      <c r="C16" s="73" t="s">
        <v>116</v>
      </c>
      <c r="D16" s="72">
        <v>3072</v>
      </c>
      <c r="E16" s="24">
        <f>'Work Sheet'!D24</f>
        <v>0</v>
      </c>
      <c r="F16" s="24"/>
      <c r="G16" s="550">
        <f t="shared" si="1"/>
        <v>0</v>
      </c>
    </row>
    <row r="17" spans="1:7" s="70" customFormat="1" ht="18" customHeight="1" x14ac:dyDescent="0.25">
      <c r="A17" s="949"/>
      <c r="B17" s="190">
        <f t="shared" si="0"/>
        <v>9</v>
      </c>
      <c r="C17" s="73" t="s">
        <v>117</v>
      </c>
      <c r="D17" s="72">
        <v>3073</v>
      </c>
      <c r="E17" s="24">
        <f>'Work Sheet'!D25</f>
        <v>0</v>
      </c>
      <c r="F17" s="24"/>
      <c r="G17" s="550">
        <f t="shared" si="1"/>
        <v>0</v>
      </c>
    </row>
    <row r="18" spans="1:7" s="70" customFormat="1" ht="18" customHeight="1" x14ac:dyDescent="0.25">
      <c r="A18" s="949"/>
      <c r="B18" s="190">
        <f t="shared" si="0"/>
        <v>10</v>
      </c>
      <c r="C18" s="73" t="s">
        <v>118</v>
      </c>
      <c r="D18" s="72">
        <v>3074</v>
      </c>
      <c r="E18" s="24">
        <f>'Work Sheet'!D26</f>
        <v>0</v>
      </c>
      <c r="F18" s="24"/>
      <c r="G18" s="550">
        <f t="shared" si="1"/>
        <v>0</v>
      </c>
    </row>
    <row r="19" spans="1:7" s="70" customFormat="1" ht="18" customHeight="1" x14ac:dyDescent="0.25">
      <c r="A19" s="949"/>
      <c r="B19" s="190">
        <f t="shared" si="0"/>
        <v>11</v>
      </c>
      <c r="C19" s="73" t="s">
        <v>119</v>
      </c>
      <c r="D19" s="72">
        <v>3076</v>
      </c>
      <c r="E19" s="24">
        <f>'Work Sheet'!D27</f>
        <v>0</v>
      </c>
      <c r="F19" s="24"/>
      <c r="G19" s="550">
        <f t="shared" si="1"/>
        <v>0</v>
      </c>
    </row>
    <row r="20" spans="1:7" ht="18" customHeight="1" x14ac:dyDescent="0.25">
      <c r="A20" s="949"/>
      <c r="B20" s="190">
        <f t="shared" si="0"/>
        <v>12</v>
      </c>
      <c r="C20" s="73" t="s">
        <v>120</v>
      </c>
      <c r="D20" s="72">
        <v>3077</v>
      </c>
      <c r="E20" s="24">
        <f>'Work Sheet'!D28</f>
        <v>0</v>
      </c>
      <c r="F20" s="24"/>
      <c r="G20" s="550">
        <f t="shared" si="1"/>
        <v>0</v>
      </c>
    </row>
    <row r="21" spans="1:7" ht="18" customHeight="1" x14ac:dyDescent="0.25">
      <c r="A21" s="949"/>
      <c r="B21" s="190">
        <f t="shared" si="0"/>
        <v>13</v>
      </c>
      <c r="C21" s="73" t="s">
        <v>121</v>
      </c>
      <c r="D21" s="72">
        <v>3083</v>
      </c>
      <c r="E21" s="24">
        <f>'Work Sheet'!D29</f>
        <v>0</v>
      </c>
      <c r="F21" s="24"/>
      <c r="G21" s="550">
        <f t="shared" si="1"/>
        <v>0</v>
      </c>
    </row>
    <row r="22" spans="1:7" ht="18" customHeight="1" x14ac:dyDescent="0.25">
      <c r="A22" s="949"/>
      <c r="B22" s="190">
        <f t="shared" si="0"/>
        <v>14</v>
      </c>
      <c r="C22" s="73" t="s">
        <v>122</v>
      </c>
      <c r="D22" s="72">
        <v>3087</v>
      </c>
      <c r="E22" s="24">
        <f>'Work Sheet'!D30</f>
        <v>0</v>
      </c>
      <c r="F22" s="24"/>
      <c r="G22" s="550">
        <f t="shared" si="1"/>
        <v>0</v>
      </c>
    </row>
    <row r="23" spans="1:7" ht="18" customHeight="1" x14ac:dyDescent="0.25">
      <c r="A23" s="949"/>
      <c r="B23" s="190">
        <f t="shared" si="0"/>
        <v>15</v>
      </c>
      <c r="C23" s="73" t="s">
        <v>123</v>
      </c>
      <c r="D23" s="72">
        <v>3088</v>
      </c>
      <c r="E23" s="24">
        <f>'Work Sheet'!D31</f>
        <v>0</v>
      </c>
      <c r="F23" s="24"/>
      <c r="G23" s="550">
        <f t="shared" si="1"/>
        <v>0</v>
      </c>
    </row>
    <row r="24" spans="1:7" ht="18" customHeight="1" x14ac:dyDescent="0.25">
      <c r="A24" s="949"/>
      <c r="B24" s="190">
        <f t="shared" si="0"/>
        <v>16</v>
      </c>
      <c r="C24" s="73" t="s">
        <v>124</v>
      </c>
      <c r="D24" s="72">
        <v>3099</v>
      </c>
      <c r="E24" s="24">
        <f>'Work Sheet'!D9</f>
        <v>0</v>
      </c>
      <c r="F24" s="24"/>
      <c r="G24" s="550">
        <f t="shared" si="1"/>
        <v>0</v>
      </c>
    </row>
    <row r="25" spans="1:7" ht="18" customHeight="1" x14ac:dyDescent="0.25">
      <c r="A25" s="949"/>
      <c r="B25" s="190">
        <f t="shared" si="0"/>
        <v>17</v>
      </c>
      <c r="C25" s="151" t="s">
        <v>125</v>
      </c>
      <c r="D25" s="72">
        <v>3100</v>
      </c>
      <c r="E25" s="265">
        <f>+E9-E12</f>
        <v>0</v>
      </c>
      <c r="F25" s="265">
        <f>+F9-F12</f>
        <v>0</v>
      </c>
      <c r="G25" s="660">
        <f>+G9-G12</f>
        <v>0</v>
      </c>
    </row>
    <row r="26" spans="1:7" ht="18" customHeight="1" x14ac:dyDescent="0.25">
      <c r="A26" s="661"/>
      <c r="B26" s="190">
        <f t="shared" si="0"/>
        <v>18</v>
      </c>
      <c r="C26" s="151" t="s">
        <v>549</v>
      </c>
      <c r="D26" s="72">
        <v>3129</v>
      </c>
      <c r="E26" s="265">
        <f>+E27+E28+E29</f>
        <v>0</v>
      </c>
      <c r="F26" s="265">
        <f>+F27+F28+F29</f>
        <v>0</v>
      </c>
      <c r="G26" s="660">
        <f>+G27+G28+G29</f>
        <v>0</v>
      </c>
    </row>
    <row r="27" spans="1:7" ht="18" customHeight="1" x14ac:dyDescent="0.25">
      <c r="A27" s="662"/>
      <c r="B27" s="190">
        <f t="shared" si="0"/>
        <v>19</v>
      </c>
      <c r="C27" s="73" t="s">
        <v>178</v>
      </c>
      <c r="D27" s="216">
        <v>3115</v>
      </c>
      <c r="E27" s="24">
        <f>'Work Sheet'!D13</f>
        <v>0</v>
      </c>
      <c r="F27" s="24"/>
      <c r="G27" s="550">
        <f>+E27-F27</f>
        <v>0</v>
      </c>
    </row>
    <row r="28" spans="1:7" ht="18" customHeight="1" x14ac:dyDescent="0.25">
      <c r="A28" s="662"/>
      <c r="B28" s="190">
        <f t="shared" si="0"/>
        <v>20</v>
      </c>
      <c r="C28" s="73" t="s">
        <v>179</v>
      </c>
      <c r="D28" s="216">
        <v>3116</v>
      </c>
      <c r="E28" s="24">
        <f>'Work Sheet'!D14</f>
        <v>0</v>
      </c>
      <c r="F28" s="24"/>
      <c r="G28" s="550">
        <f>+E28-F28</f>
        <v>0</v>
      </c>
    </row>
    <row r="29" spans="1:7" ht="18" customHeight="1" x14ac:dyDescent="0.25">
      <c r="A29" s="662"/>
      <c r="B29" s="190">
        <v>21</v>
      </c>
      <c r="C29" s="73" t="s">
        <v>301</v>
      </c>
      <c r="D29" s="216">
        <v>3128</v>
      </c>
      <c r="E29" s="24">
        <f>'Work Sheet'!D12</f>
        <v>0</v>
      </c>
      <c r="F29" s="24"/>
      <c r="G29" s="550">
        <f>+E29-F29</f>
        <v>0</v>
      </c>
    </row>
    <row r="30" spans="1:7" ht="18" customHeight="1" x14ac:dyDescent="0.25">
      <c r="A30" s="662"/>
      <c r="B30" s="310">
        <v>22</v>
      </c>
      <c r="C30" s="311" t="s">
        <v>401</v>
      </c>
      <c r="D30" s="214">
        <v>3131</v>
      </c>
      <c r="E30" s="24">
        <f>'Work Sheet'!D15</f>
        <v>0</v>
      </c>
      <c r="F30" s="24"/>
      <c r="G30" s="550">
        <f>+E30-F30</f>
        <v>0</v>
      </c>
    </row>
    <row r="31" spans="1:7" ht="18" customHeight="1" x14ac:dyDescent="0.25">
      <c r="A31" s="662"/>
      <c r="B31" s="310">
        <v>23</v>
      </c>
      <c r="C31" s="311" t="s">
        <v>55</v>
      </c>
      <c r="D31" s="214">
        <v>3141</v>
      </c>
      <c r="E31" s="24">
        <f>'Work Sheet'!D16</f>
        <v>0</v>
      </c>
      <c r="F31" s="24"/>
      <c r="G31" s="550">
        <f>+E31-F31</f>
        <v>0</v>
      </c>
    </row>
    <row r="32" spans="1:7" ht="18" customHeight="1" x14ac:dyDescent="0.25">
      <c r="A32" s="662"/>
      <c r="B32" s="190"/>
      <c r="C32" s="73"/>
      <c r="D32" s="216"/>
      <c r="E32" s="24"/>
      <c r="F32" s="24"/>
      <c r="G32" s="550"/>
    </row>
    <row r="33" spans="1:7" ht="26.1" customHeight="1" x14ac:dyDescent="0.25">
      <c r="A33" s="928" t="s">
        <v>126</v>
      </c>
      <c r="B33" s="190">
        <v>24</v>
      </c>
      <c r="C33" s="151" t="s">
        <v>520</v>
      </c>
      <c r="D33" s="72">
        <v>3199</v>
      </c>
      <c r="E33" s="265">
        <f>SUM(E34:E53)</f>
        <v>0</v>
      </c>
      <c r="F33" s="265">
        <f>SUM(F34:F53)</f>
        <v>0</v>
      </c>
      <c r="G33" s="660">
        <f>SUM(G34:G53)</f>
        <v>0</v>
      </c>
    </row>
    <row r="34" spans="1:7" ht="18" customHeight="1" x14ac:dyDescent="0.25">
      <c r="A34" s="928"/>
      <c r="B34" s="190">
        <f t="shared" si="0"/>
        <v>25</v>
      </c>
      <c r="C34" s="73" t="s">
        <v>127</v>
      </c>
      <c r="D34" s="67">
        <v>3151</v>
      </c>
      <c r="E34" s="24">
        <f>'Work Sheet'!D33</f>
        <v>0</v>
      </c>
      <c r="F34" s="24"/>
      <c r="G34" s="550">
        <f t="shared" ref="G34:G53" si="2">+E34-F34</f>
        <v>0</v>
      </c>
    </row>
    <row r="35" spans="1:7" ht="18" customHeight="1" x14ac:dyDescent="0.25">
      <c r="A35" s="928"/>
      <c r="B35" s="190">
        <f t="shared" si="0"/>
        <v>26</v>
      </c>
      <c r="C35" s="73" t="s">
        <v>128</v>
      </c>
      <c r="D35" s="67">
        <v>3152</v>
      </c>
      <c r="E35" s="24">
        <f>'Work Sheet'!D34</f>
        <v>0</v>
      </c>
      <c r="F35" s="24"/>
      <c r="G35" s="550">
        <f t="shared" si="2"/>
        <v>0</v>
      </c>
    </row>
    <row r="36" spans="1:7" ht="18" customHeight="1" x14ac:dyDescent="0.25">
      <c r="A36" s="928"/>
      <c r="B36" s="190">
        <f t="shared" si="0"/>
        <v>27</v>
      </c>
      <c r="C36" s="73" t="s">
        <v>129</v>
      </c>
      <c r="D36" s="67">
        <v>3154</v>
      </c>
      <c r="E36" s="24">
        <f>'Work Sheet'!D35</f>
        <v>0</v>
      </c>
      <c r="F36" s="24"/>
      <c r="G36" s="550">
        <f t="shared" si="2"/>
        <v>0</v>
      </c>
    </row>
    <row r="37" spans="1:7" ht="18" customHeight="1" x14ac:dyDescent="0.25">
      <c r="A37" s="928"/>
      <c r="B37" s="190">
        <f t="shared" si="0"/>
        <v>28</v>
      </c>
      <c r="C37" s="73" t="s">
        <v>130</v>
      </c>
      <c r="D37" s="67">
        <v>3155</v>
      </c>
      <c r="E37" s="24">
        <f>'Work Sheet'!D36</f>
        <v>0</v>
      </c>
      <c r="F37" s="24"/>
      <c r="G37" s="550">
        <f t="shared" si="2"/>
        <v>0</v>
      </c>
    </row>
    <row r="38" spans="1:7" ht="18" customHeight="1" x14ac:dyDescent="0.25">
      <c r="A38" s="928"/>
      <c r="B38" s="190">
        <f t="shared" si="0"/>
        <v>29</v>
      </c>
      <c r="C38" s="73" t="s">
        <v>131</v>
      </c>
      <c r="D38" s="67">
        <v>3158</v>
      </c>
      <c r="E38" s="24">
        <f>'Work Sheet'!D37</f>
        <v>0</v>
      </c>
      <c r="F38" s="24"/>
      <c r="G38" s="550">
        <f t="shared" si="2"/>
        <v>0</v>
      </c>
    </row>
    <row r="39" spans="1:7" ht="18" customHeight="1" x14ac:dyDescent="0.25">
      <c r="A39" s="928"/>
      <c r="B39" s="190">
        <f t="shared" si="0"/>
        <v>30</v>
      </c>
      <c r="C39" s="73" t="s">
        <v>132</v>
      </c>
      <c r="D39" s="67">
        <v>3162</v>
      </c>
      <c r="E39" s="24">
        <f>'Work Sheet'!D38</f>
        <v>0</v>
      </c>
      <c r="F39" s="24"/>
      <c r="G39" s="550">
        <f t="shared" si="2"/>
        <v>0</v>
      </c>
    </row>
    <row r="40" spans="1:7" ht="18" customHeight="1" x14ac:dyDescent="0.25">
      <c r="A40" s="928"/>
      <c r="B40" s="190">
        <f t="shared" si="0"/>
        <v>31</v>
      </c>
      <c r="C40" s="73" t="s">
        <v>120</v>
      </c>
      <c r="D40" s="67">
        <v>3165</v>
      </c>
      <c r="E40" s="24">
        <f>'Work Sheet'!D39</f>
        <v>0</v>
      </c>
      <c r="F40" s="24"/>
      <c r="G40" s="550">
        <f t="shared" si="2"/>
        <v>0</v>
      </c>
    </row>
    <row r="41" spans="1:7" ht="18" customHeight="1" x14ac:dyDescent="0.25">
      <c r="A41" s="928"/>
      <c r="B41" s="190">
        <f t="shared" si="0"/>
        <v>32</v>
      </c>
      <c r="C41" s="74" t="s">
        <v>133</v>
      </c>
      <c r="D41" s="67">
        <v>3166</v>
      </c>
      <c r="E41" s="24">
        <f>'Work Sheet'!D40</f>
        <v>0</v>
      </c>
      <c r="F41" s="24"/>
      <c r="G41" s="550">
        <f t="shared" si="2"/>
        <v>0</v>
      </c>
    </row>
    <row r="42" spans="1:7" ht="18" customHeight="1" x14ac:dyDescent="0.25">
      <c r="A42" s="928"/>
      <c r="B42" s="190">
        <f t="shared" si="0"/>
        <v>33</v>
      </c>
      <c r="C42" s="73" t="s">
        <v>134</v>
      </c>
      <c r="D42" s="67">
        <v>3168</v>
      </c>
      <c r="E42" s="24">
        <f>'Work Sheet'!D41</f>
        <v>0</v>
      </c>
      <c r="F42" s="24"/>
      <c r="G42" s="550">
        <f t="shared" si="2"/>
        <v>0</v>
      </c>
    </row>
    <row r="43" spans="1:7" ht="18" customHeight="1" x14ac:dyDescent="0.25">
      <c r="A43" s="928"/>
      <c r="B43" s="190">
        <f t="shared" si="0"/>
        <v>34</v>
      </c>
      <c r="C43" s="73" t="s">
        <v>135</v>
      </c>
      <c r="D43" s="67">
        <v>3170</v>
      </c>
      <c r="E43" s="24">
        <f>'Work Sheet'!D42</f>
        <v>0</v>
      </c>
      <c r="F43" s="24"/>
      <c r="G43" s="550">
        <f t="shared" si="2"/>
        <v>0</v>
      </c>
    </row>
    <row r="44" spans="1:7" ht="18" customHeight="1" x14ac:dyDescent="0.25">
      <c r="A44" s="928"/>
      <c r="B44" s="190">
        <f t="shared" si="0"/>
        <v>35</v>
      </c>
      <c r="C44" s="73" t="s">
        <v>136</v>
      </c>
      <c r="D44" s="67">
        <v>3171</v>
      </c>
      <c r="E44" s="24">
        <f>'Work Sheet'!D43</f>
        <v>0</v>
      </c>
      <c r="F44" s="24"/>
      <c r="G44" s="550">
        <f t="shared" si="2"/>
        <v>0</v>
      </c>
    </row>
    <row r="45" spans="1:7" ht="18" customHeight="1" x14ac:dyDescent="0.25">
      <c r="A45" s="928"/>
      <c r="B45" s="190">
        <f t="shared" si="0"/>
        <v>36</v>
      </c>
      <c r="C45" s="73" t="s">
        <v>137</v>
      </c>
      <c r="D45" s="67">
        <v>3172</v>
      </c>
      <c r="E45" s="24">
        <f>'Work Sheet'!D44</f>
        <v>0</v>
      </c>
      <c r="F45" s="24"/>
      <c r="G45" s="550">
        <f t="shared" si="2"/>
        <v>0</v>
      </c>
    </row>
    <row r="46" spans="1:7" ht="18" customHeight="1" x14ac:dyDescent="0.25">
      <c r="A46" s="928"/>
      <c r="B46" s="190">
        <f t="shared" si="0"/>
        <v>37</v>
      </c>
      <c r="C46" s="73" t="s">
        <v>138</v>
      </c>
      <c r="D46" s="67">
        <v>3178</v>
      </c>
      <c r="E46" s="24">
        <f>'Work Sheet'!D45</f>
        <v>0</v>
      </c>
      <c r="F46" s="24"/>
      <c r="G46" s="550">
        <f t="shared" si="2"/>
        <v>0</v>
      </c>
    </row>
    <row r="47" spans="1:7" ht="18" customHeight="1" x14ac:dyDescent="0.25">
      <c r="A47" s="928"/>
      <c r="B47" s="190">
        <f t="shared" si="0"/>
        <v>38</v>
      </c>
      <c r="C47" s="73" t="s">
        <v>139</v>
      </c>
      <c r="D47" s="67">
        <v>3186</v>
      </c>
      <c r="E47" s="24">
        <f>'Work Sheet'!D46</f>
        <v>0</v>
      </c>
      <c r="F47" s="24"/>
      <c r="G47" s="550">
        <f t="shared" si="2"/>
        <v>0</v>
      </c>
    </row>
    <row r="48" spans="1:7" ht="18" customHeight="1" x14ac:dyDescent="0.25">
      <c r="A48" s="928"/>
      <c r="B48" s="190">
        <f t="shared" si="0"/>
        <v>39</v>
      </c>
      <c r="C48" s="73" t="s">
        <v>140</v>
      </c>
      <c r="D48" s="67">
        <v>3187</v>
      </c>
      <c r="E48" s="24">
        <f>'Work Sheet'!D47</f>
        <v>0</v>
      </c>
      <c r="F48" s="24"/>
      <c r="G48" s="550">
        <f t="shared" si="2"/>
        <v>0</v>
      </c>
    </row>
    <row r="49" spans="1:8" ht="18" customHeight="1" x14ac:dyDescent="0.25">
      <c r="A49" s="928"/>
      <c r="B49" s="190">
        <f t="shared" si="0"/>
        <v>40</v>
      </c>
      <c r="C49" s="73" t="s">
        <v>141</v>
      </c>
      <c r="D49" s="67">
        <v>3180</v>
      </c>
      <c r="E49" s="24">
        <f>'Work Sheet'!D48</f>
        <v>0</v>
      </c>
      <c r="F49" s="24"/>
      <c r="G49" s="550">
        <f t="shared" si="2"/>
        <v>0</v>
      </c>
    </row>
    <row r="50" spans="1:8" ht="18" customHeight="1" x14ac:dyDescent="0.25">
      <c r="A50" s="928"/>
      <c r="B50" s="190">
        <f t="shared" si="0"/>
        <v>41</v>
      </c>
      <c r="C50" s="73" t="s">
        <v>388</v>
      </c>
      <c r="D50" s="72">
        <v>3195</v>
      </c>
      <c r="E50" s="24">
        <f>'Work Sheet'!D49</f>
        <v>0</v>
      </c>
      <c r="F50" s="24"/>
      <c r="G50" s="550">
        <f t="shared" si="2"/>
        <v>0</v>
      </c>
    </row>
    <row r="51" spans="1:8" ht="18" customHeight="1" x14ac:dyDescent="0.25">
      <c r="A51" s="928"/>
      <c r="B51" s="190">
        <f t="shared" si="0"/>
        <v>42</v>
      </c>
      <c r="C51" s="73" t="s">
        <v>389</v>
      </c>
      <c r="D51" s="72">
        <v>3196</v>
      </c>
      <c r="E51" s="24">
        <f>'Work Sheet'!D50</f>
        <v>0</v>
      </c>
      <c r="F51" s="24"/>
      <c r="G51" s="550">
        <f t="shared" si="2"/>
        <v>0</v>
      </c>
    </row>
    <row r="52" spans="1:8" ht="18" customHeight="1" x14ac:dyDescent="0.25">
      <c r="A52" s="928"/>
      <c r="B52" s="190">
        <f t="shared" si="0"/>
        <v>43</v>
      </c>
      <c r="C52" s="73" t="s">
        <v>122</v>
      </c>
      <c r="D52" s="72">
        <v>3197</v>
      </c>
      <c r="E52" s="24">
        <f>'Work Sheet'!D51</f>
        <v>0</v>
      </c>
      <c r="F52" s="24"/>
      <c r="G52" s="550">
        <f t="shared" si="2"/>
        <v>0</v>
      </c>
    </row>
    <row r="53" spans="1:8" ht="18" customHeight="1" x14ac:dyDescent="0.25">
      <c r="A53" s="928"/>
      <c r="B53" s="190">
        <f t="shared" si="0"/>
        <v>44</v>
      </c>
      <c r="C53" s="73" t="s">
        <v>123</v>
      </c>
      <c r="D53" s="72">
        <v>3198</v>
      </c>
      <c r="E53" s="24">
        <f>'Work Sheet'!D52</f>
        <v>0</v>
      </c>
      <c r="F53" s="24"/>
      <c r="G53" s="550">
        <f t="shared" si="2"/>
        <v>0</v>
      </c>
    </row>
    <row r="54" spans="1:8" ht="18" customHeight="1" x14ac:dyDescent="0.25">
      <c r="A54" s="928"/>
      <c r="B54" s="190">
        <f t="shared" si="0"/>
        <v>45</v>
      </c>
      <c r="C54" s="151" t="s">
        <v>550</v>
      </c>
      <c r="D54" s="72">
        <v>3200</v>
      </c>
      <c r="E54" s="265">
        <f>+E25+E29-E33</f>
        <v>0</v>
      </c>
      <c r="F54" s="265">
        <f>+F25+F29-F33</f>
        <v>0</v>
      </c>
      <c r="G54" s="660">
        <f>+G25+G29-G33</f>
        <v>0</v>
      </c>
    </row>
    <row r="55" spans="1:8" s="75" customFormat="1" ht="18" customHeight="1" thickBot="1" x14ac:dyDescent="0.3">
      <c r="A55" s="663" t="s">
        <v>70</v>
      </c>
      <c r="B55" s="664"/>
      <c r="C55" s="665"/>
      <c r="D55" s="666"/>
      <c r="E55" s="667"/>
      <c r="F55" s="667" t="s">
        <v>71</v>
      </c>
      <c r="G55" s="668" t="str">
        <f>IF('IND (BUS PLUS)'!J71="","",'IND (BUS PLUS)'!J71)</f>
        <v/>
      </c>
      <c r="H55" s="76"/>
    </row>
    <row r="56" spans="1:8" ht="18" customHeight="1" x14ac:dyDescent="0.25">
      <c r="A56" s="952" t="s">
        <v>104</v>
      </c>
      <c r="B56" s="953"/>
      <c r="C56" s="953"/>
      <c r="D56" s="953"/>
      <c r="E56" s="953"/>
      <c r="F56" s="953"/>
      <c r="G56" s="646" t="s">
        <v>81</v>
      </c>
    </row>
    <row r="57" spans="1:8" ht="18" customHeight="1" x14ac:dyDescent="0.25">
      <c r="A57" s="954" t="s">
        <v>105</v>
      </c>
      <c r="B57" s="955"/>
      <c r="C57" s="955"/>
      <c r="D57" s="955"/>
      <c r="E57" s="955"/>
      <c r="F57" s="955"/>
      <c r="G57" s="956"/>
    </row>
    <row r="58" spans="1:8" ht="18" customHeight="1" x14ac:dyDescent="0.25">
      <c r="A58" s="930" t="s">
        <v>106</v>
      </c>
      <c r="B58" s="931"/>
      <c r="C58" s="931"/>
      <c r="D58" s="931"/>
      <c r="E58" s="931"/>
      <c r="F58" s="931"/>
      <c r="G58" s="932"/>
    </row>
    <row r="59" spans="1:8" s="62" customFormat="1" ht="18" customHeight="1" x14ac:dyDescent="0.25">
      <c r="A59" s="647" t="s">
        <v>37</v>
      </c>
      <c r="B59" s="219"/>
      <c r="C59" s="933" t="str">
        <f>IF('IND (BUS PLUS)'!C4="","",'IND (BUS PLUS)'!C4)</f>
        <v>MUHAMMAD RAHIL IQBAL</v>
      </c>
      <c r="D59" s="933"/>
      <c r="E59" s="933"/>
      <c r="F59" s="220" t="s">
        <v>38</v>
      </c>
      <c r="G59" s="648" t="str">
        <f>PROFILE!AU7</f>
        <v>2024</v>
      </c>
    </row>
    <row r="60" spans="1:8" s="62" customFormat="1" ht="18" customHeight="1" x14ac:dyDescent="0.25">
      <c r="A60" s="649" t="s">
        <v>39</v>
      </c>
      <c r="B60" s="61"/>
      <c r="C60" s="934" t="str">
        <f>IF('IND (BUS PLUS)'!C5="","",'IND (BUS PLUS)'!C5)</f>
        <v>-</v>
      </c>
      <c r="D60" s="934"/>
      <c r="E60" s="934"/>
      <c r="F60" s="592" t="s">
        <v>75</v>
      </c>
      <c r="G60" s="650" t="str">
        <f>+G5</f>
        <v>-</v>
      </c>
    </row>
    <row r="61" spans="1:8" s="56" customFormat="1" ht="36" x14ac:dyDescent="0.25">
      <c r="A61" s="651"/>
      <c r="B61" s="65" t="s">
        <v>42</v>
      </c>
      <c r="C61" s="66" t="s">
        <v>43</v>
      </c>
      <c r="D61" s="67" t="s">
        <v>44</v>
      </c>
      <c r="E61" s="13" t="s">
        <v>45</v>
      </c>
      <c r="F61" s="13" t="s">
        <v>142</v>
      </c>
      <c r="G61" s="652" t="s">
        <v>143</v>
      </c>
    </row>
    <row r="62" spans="1:8" s="56" customFormat="1" ht="18" customHeight="1" x14ac:dyDescent="0.25">
      <c r="A62" s="651"/>
      <c r="B62" s="68"/>
      <c r="C62" s="69"/>
      <c r="D62" s="67"/>
      <c r="E62" s="54" t="s">
        <v>47</v>
      </c>
      <c r="F62" s="54" t="s">
        <v>48</v>
      </c>
      <c r="G62" s="653" t="s">
        <v>49</v>
      </c>
    </row>
    <row r="63" spans="1:8" s="70" customFormat="1" ht="27.9" customHeight="1" x14ac:dyDescent="0.25">
      <c r="A63" s="928"/>
      <c r="B63" s="190">
        <f>+B54+1</f>
        <v>46</v>
      </c>
      <c r="C63" s="152" t="s">
        <v>386</v>
      </c>
      <c r="D63" s="67" t="s">
        <v>144</v>
      </c>
      <c r="E63" s="77">
        <f>IF(SUM(E54)+SUM('Annex-C'!E37)+SUM('Annex-C'!E38)&gt;0,SUM(E54)+SUM('Annex-C'!E37)+SUM('Annex-C'!E38),0)</f>
        <v>0</v>
      </c>
      <c r="F63" s="37"/>
      <c r="G63" s="542">
        <f t="shared" ref="G63:G69" si="3">MAX(SUM(E63)-SUM(F63),0)</f>
        <v>0</v>
      </c>
    </row>
    <row r="64" spans="1:8" s="70" customFormat="1" ht="18" customHeight="1" x14ac:dyDescent="0.25">
      <c r="A64" s="928"/>
      <c r="B64" s="190">
        <f t="shared" ref="B64:B81" si="4">+B63+1</f>
        <v>47</v>
      </c>
      <c r="C64" s="306" t="s">
        <v>703</v>
      </c>
      <c r="D64" s="78">
        <v>327018</v>
      </c>
      <c r="E64" s="37"/>
      <c r="F64" s="77"/>
      <c r="G64" s="542">
        <f t="shared" si="3"/>
        <v>0</v>
      </c>
    </row>
    <row r="65" spans="1:7" s="70" customFormat="1" ht="18" customHeight="1" x14ac:dyDescent="0.25">
      <c r="A65" s="928"/>
      <c r="B65" s="190">
        <f>+B64+1</f>
        <v>48</v>
      </c>
      <c r="C65" s="306" t="s">
        <v>704</v>
      </c>
      <c r="D65" s="78">
        <v>327019</v>
      </c>
      <c r="E65" s="37"/>
      <c r="F65" s="77"/>
      <c r="G65" s="542">
        <f t="shared" si="3"/>
        <v>0</v>
      </c>
    </row>
    <row r="66" spans="1:7" s="70" customFormat="1" ht="18" customHeight="1" x14ac:dyDescent="0.25">
      <c r="A66" s="928"/>
      <c r="B66" s="190">
        <f t="shared" si="4"/>
        <v>49</v>
      </c>
      <c r="C66" s="306" t="s">
        <v>705</v>
      </c>
      <c r="D66" s="78">
        <v>327020</v>
      </c>
      <c r="E66" s="37"/>
      <c r="F66" s="77"/>
      <c r="G66" s="542">
        <f t="shared" si="3"/>
        <v>0</v>
      </c>
    </row>
    <row r="67" spans="1:7" s="70" customFormat="1" ht="18" customHeight="1" x14ac:dyDescent="0.25">
      <c r="A67" s="928"/>
      <c r="B67" s="190">
        <f t="shared" si="4"/>
        <v>50</v>
      </c>
      <c r="C67" s="306" t="s">
        <v>706</v>
      </c>
      <c r="D67" s="78">
        <v>327021</v>
      </c>
      <c r="E67" s="37"/>
      <c r="F67" s="77"/>
      <c r="G67" s="542">
        <f t="shared" si="3"/>
        <v>0</v>
      </c>
    </row>
    <row r="68" spans="1:7" s="70" customFormat="1" ht="18" customHeight="1" x14ac:dyDescent="0.25">
      <c r="A68" s="928"/>
      <c r="B68" s="190">
        <f t="shared" si="4"/>
        <v>51</v>
      </c>
      <c r="C68" s="306" t="s">
        <v>726</v>
      </c>
      <c r="D68" s="78">
        <v>327022</v>
      </c>
      <c r="E68" s="37"/>
      <c r="F68" s="77"/>
      <c r="G68" s="542">
        <f t="shared" si="3"/>
        <v>0</v>
      </c>
    </row>
    <row r="69" spans="1:7" s="70" customFormat="1" ht="18" customHeight="1" x14ac:dyDescent="0.25">
      <c r="A69" s="928"/>
      <c r="B69" s="190">
        <f>+B68+1</f>
        <v>52</v>
      </c>
      <c r="C69" s="306" t="s">
        <v>738</v>
      </c>
      <c r="D69" s="78">
        <v>327023</v>
      </c>
      <c r="E69" s="37"/>
      <c r="F69" s="77"/>
      <c r="G69" s="542">
        <f t="shared" si="3"/>
        <v>0</v>
      </c>
    </row>
    <row r="70" spans="1:7" s="70" customFormat="1" ht="18" customHeight="1" x14ac:dyDescent="0.25">
      <c r="A70" s="942" t="s">
        <v>385</v>
      </c>
      <c r="B70" s="943"/>
      <c r="C70" s="943"/>
      <c r="D70" s="943"/>
      <c r="E70" s="943"/>
      <c r="F70" s="943"/>
      <c r="G70" s="944"/>
    </row>
    <row r="71" spans="1:7" s="70" customFormat="1" ht="18" customHeight="1" x14ac:dyDescent="0.25">
      <c r="A71" s="928" t="s">
        <v>146</v>
      </c>
      <c r="B71" s="190">
        <f>+B69+1</f>
        <v>53</v>
      </c>
      <c r="C71" s="80" t="s">
        <v>590</v>
      </c>
      <c r="D71" s="81">
        <v>3349</v>
      </c>
      <c r="E71" s="926"/>
      <c r="F71" s="926"/>
      <c r="G71" s="654">
        <f>SUM(G72:G77)</f>
        <v>0</v>
      </c>
    </row>
    <row r="72" spans="1:7" s="70" customFormat="1" ht="18" customHeight="1" x14ac:dyDescent="0.25">
      <c r="A72" s="928"/>
      <c r="B72" s="190">
        <f t="shared" si="4"/>
        <v>54</v>
      </c>
      <c r="C72" s="82" t="s">
        <v>414</v>
      </c>
      <c r="D72" s="83">
        <v>3301</v>
      </c>
      <c r="E72" s="926"/>
      <c r="F72" s="926"/>
      <c r="G72" s="655"/>
    </row>
    <row r="73" spans="1:7" s="70" customFormat="1" ht="18" customHeight="1" x14ac:dyDescent="0.25">
      <c r="A73" s="928"/>
      <c r="B73" s="190">
        <f t="shared" si="4"/>
        <v>55</v>
      </c>
      <c r="C73" s="82" t="s">
        <v>200</v>
      </c>
      <c r="D73" s="83">
        <v>3302</v>
      </c>
      <c r="E73" s="926"/>
      <c r="F73" s="926"/>
      <c r="G73" s="655"/>
    </row>
    <row r="74" spans="1:7" s="70" customFormat="1" ht="18" customHeight="1" x14ac:dyDescent="0.25">
      <c r="A74" s="928"/>
      <c r="B74" s="190">
        <f t="shared" si="4"/>
        <v>56</v>
      </c>
      <c r="C74" s="82" t="s">
        <v>415</v>
      </c>
      <c r="D74" s="83">
        <v>3303</v>
      </c>
      <c r="E74" s="926"/>
      <c r="F74" s="926"/>
      <c r="G74" s="655"/>
    </row>
    <row r="75" spans="1:7" s="70" customFormat="1" ht="18" customHeight="1" x14ac:dyDescent="0.25">
      <c r="A75" s="928"/>
      <c r="B75" s="190">
        <f t="shared" si="4"/>
        <v>57</v>
      </c>
      <c r="C75" s="82" t="s">
        <v>147</v>
      </c>
      <c r="D75" s="83">
        <v>3312</v>
      </c>
      <c r="E75" s="926"/>
      <c r="F75" s="926"/>
      <c r="G75" s="655"/>
    </row>
    <row r="76" spans="1:7" s="70" customFormat="1" ht="18" customHeight="1" x14ac:dyDescent="0.25">
      <c r="A76" s="928"/>
      <c r="B76" s="190">
        <f t="shared" si="4"/>
        <v>58</v>
      </c>
      <c r="C76" s="82" t="s">
        <v>148</v>
      </c>
      <c r="D76" s="83">
        <v>3315</v>
      </c>
      <c r="E76" s="926"/>
      <c r="F76" s="926"/>
      <c r="G76" s="655">
        <f>G24</f>
        <v>0</v>
      </c>
    </row>
    <row r="77" spans="1:7" s="70" customFormat="1" ht="18" customHeight="1" x14ac:dyDescent="0.25">
      <c r="A77" s="928"/>
      <c r="B77" s="190">
        <f t="shared" si="4"/>
        <v>59</v>
      </c>
      <c r="C77" s="82" t="s">
        <v>149</v>
      </c>
      <c r="D77" s="83">
        <v>3319</v>
      </c>
      <c r="E77" s="926"/>
      <c r="F77" s="926"/>
      <c r="G77" s="655"/>
    </row>
    <row r="78" spans="1:7" s="70" customFormat="1" ht="18" customHeight="1" x14ac:dyDescent="0.25">
      <c r="A78" s="928" t="s">
        <v>150</v>
      </c>
      <c r="B78" s="190">
        <f t="shared" si="4"/>
        <v>60</v>
      </c>
      <c r="C78" s="80" t="s">
        <v>589</v>
      </c>
      <c r="D78" s="83">
        <v>3399</v>
      </c>
      <c r="E78" s="926"/>
      <c r="F78" s="926"/>
      <c r="G78" s="654">
        <f>SUM(G79:G81)</f>
        <v>0</v>
      </c>
    </row>
    <row r="79" spans="1:7" s="70" customFormat="1" ht="18" customHeight="1" x14ac:dyDescent="0.25">
      <c r="A79" s="928"/>
      <c r="B79" s="190">
        <f t="shared" si="4"/>
        <v>61</v>
      </c>
      <c r="C79" s="82" t="s">
        <v>151</v>
      </c>
      <c r="D79" s="83">
        <v>3352</v>
      </c>
      <c r="E79" s="926"/>
      <c r="F79" s="926"/>
      <c r="G79" s="655">
        <f>'Wealth Statement'!J30</f>
        <v>0</v>
      </c>
    </row>
    <row r="80" spans="1:7" s="70" customFormat="1" ht="18" customHeight="1" x14ac:dyDescent="0.25">
      <c r="A80" s="928"/>
      <c r="B80" s="190">
        <f t="shared" si="4"/>
        <v>62</v>
      </c>
      <c r="C80" s="82" t="s">
        <v>152</v>
      </c>
      <c r="D80" s="83">
        <v>3371</v>
      </c>
      <c r="E80" s="926"/>
      <c r="F80" s="926"/>
      <c r="G80" s="655"/>
    </row>
    <row r="81" spans="1:8" s="70" customFormat="1" ht="18" customHeight="1" x14ac:dyDescent="0.25">
      <c r="A81" s="929"/>
      <c r="B81" s="643">
        <f t="shared" si="4"/>
        <v>63</v>
      </c>
      <c r="C81" s="644" t="s">
        <v>153</v>
      </c>
      <c r="D81" s="645">
        <v>3384</v>
      </c>
      <c r="E81" s="927"/>
      <c r="F81" s="927"/>
      <c r="G81" s="656"/>
    </row>
    <row r="82" spans="1:8" s="75" customFormat="1" ht="18" customHeight="1" thickBot="1" x14ac:dyDescent="0.3">
      <c r="A82" s="935" t="s">
        <v>70</v>
      </c>
      <c r="B82" s="936"/>
      <c r="C82" s="936"/>
      <c r="D82" s="937"/>
      <c r="E82" s="938" t="s">
        <v>71</v>
      </c>
      <c r="F82" s="939"/>
      <c r="G82" s="657" t="str">
        <f>IF('IND (BUS PLUS)'!J136="","",'IND (BUS PLUS)'!J136)</f>
        <v/>
      </c>
      <c r="H82" s="76"/>
    </row>
    <row r="83" spans="1:8" ht="21.9" customHeight="1" x14ac:dyDescent="0.25">
      <c r="C83" s="84"/>
    </row>
  </sheetData>
  <sheetProtection selectLockedCells="1" selectUnlockedCells="1"/>
  <mergeCells count="22">
    <mergeCell ref="A82:D82"/>
    <mergeCell ref="E82:F82"/>
    <mergeCell ref="A1:F1"/>
    <mergeCell ref="A2:G2"/>
    <mergeCell ref="A3:G3"/>
    <mergeCell ref="C4:E4"/>
    <mergeCell ref="A12:A25"/>
    <mergeCell ref="C6:E6"/>
    <mergeCell ref="A33:A54"/>
    <mergeCell ref="A56:F56"/>
    <mergeCell ref="A57:G57"/>
    <mergeCell ref="C5:E5"/>
    <mergeCell ref="A6:B6"/>
    <mergeCell ref="A9:A11"/>
    <mergeCell ref="A70:G70"/>
    <mergeCell ref="A71:A77"/>
    <mergeCell ref="E71:F81"/>
    <mergeCell ref="A78:A81"/>
    <mergeCell ref="A58:G58"/>
    <mergeCell ref="C59:E59"/>
    <mergeCell ref="C60:E60"/>
    <mergeCell ref="A63:A69"/>
  </mergeCells>
  <phoneticPr fontId="32" type="noConversion"/>
  <conditionalFormatting sqref="F64:G69">
    <cfRule type="cellIs" dxfId="30" priority="7" stopIfTrue="1" operator="between">
      <formula>0</formula>
      <formula>0</formula>
    </cfRule>
  </conditionalFormatting>
  <conditionalFormatting sqref="E71">
    <cfRule type="cellIs" dxfId="29" priority="20" stopIfTrue="1" operator="between">
      <formula>0</formula>
      <formula>0</formula>
    </cfRule>
  </conditionalFormatting>
  <conditionalFormatting sqref="G63">
    <cfRule type="cellIs" dxfId="28" priority="32" stopIfTrue="1" operator="between">
      <formula>0</formula>
      <formula>0</formula>
    </cfRule>
  </conditionalFormatting>
  <conditionalFormatting sqref="G71">
    <cfRule type="cellIs" dxfId="27" priority="42" stopIfTrue="1" operator="between">
      <formula>0</formula>
      <formula>0</formula>
    </cfRule>
  </conditionalFormatting>
  <conditionalFormatting sqref="E63">
    <cfRule type="cellIs" dxfId="26" priority="43" stopIfTrue="1" operator="between">
      <formula>0</formula>
      <formula>0</formula>
    </cfRule>
    <cfRule type="cellIs" dxfId="25" priority="44" stopIfTrue="1" operator="between">
      <formula>0</formula>
      <formula>0</formula>
    </cfRule>
  </conditionalFormatting>
  <conditionalFormatting sqref="G78">
    <cfRule type="cellIs" dxfId="24" priority="45" stopIfTrue="1" operator="between">
      <formula>0</formula>
      <formula>0</formula>
    </cfRule>
  </conditionalFormatting>
  <dataValidations count="1">
    <dataValidation type="whole" operator="greaterThanOrEqual" allowBlank="1" showInputMessage="1" showErrorMessage="1" sqref="E64:E69 E9:G54">
      <formula1>0</formula1>
      <formula2>0</formula2>
    </dataValidation>
  </dataValidations>
  <pageMargins left="0.25" right="0.25" top="0.25" bottom="0.25" header="0.51180555555555596" footer="0.51180555555555596"/>
  <pageSetup paperSize="5" scale="79" firstPageNumber="0" fitToHeight="0" orientation="portrait" horizontalDpi="300" verticalDpi="300" r:id="rId1"/>
  <headerFooter alignWithMargins="0"/>
  <rowBreaks count="1" manualBreakCount="1">
    <brk id="5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pageSetUpPr fitToPage="1"/>
  </sheetPr>
  <dimension ref="A1:HY48"/>
  <sheetViews>
    <sheetView workbookViewId="0">
      <selection activeCell="C3" sqref="C3:D3"/>
    </sheetView>
  </sheetViews>
  <sheetFormatPr defaultColWidth="10.109375" defaultRowHeight="18" customHeight="1" x14ac:dyDescent="0.25"/>
  <cols>
    <col min="1" max="2" width="4.109375" style="113" customWidth="1"/>
    <col min="3" max="3" width="25" style="113" customWidth="1"/>
    <col min="4" max="4" width="49.33203125" style="113" customWidth="1"/>
    <col min="5" max="5" width="9.5546875" style="113" customWidth="1"/>
    <col min="6" max="6" width="16.44140625" style="113" customWidth="1"/>
    <col min="7" max="9" width="5.88671875" style="114" customWidth="1"/>
    <col min="10" max="11" width="4.6640625" style="114" customWidth="1"/>
    <col min="12" max="12" width="7.5546875" style="114" customWidth="1"/>
    <col min="13" max="13" width="4.44140625" style="114" customWidth="1"/>
    <col min="14" max="15" width="4.5546875" style="114" customWidth="1"/>
    <col min="16" max="16" width="6.109375" style="114" customWidth="1"/>
    <col min="17" max="16384" width="10.109375" style="115"/>
  </cols>
  <sheetData>
    <row r="1" spans="1:16" ht="21.9" customHeight="1" x14ac:dyDescent="0.25">
      <c r="A1" s="960" t="s">
        <v>27</v>
      </c>
      <c r="B1" s="961"/>
      <c r="C1" s="961"/>
      <c r="D1" s="961"/>
      <c r="E1" s="961"/>
      <c r="F1" s="962"/>
      <c r="G1" s="116"/>
      <c r="H1" s="116"/>
      <c r="I1" s="116"/>
      <c r="J1" s="116"/>
      <c r="K1" s="116"/>
      <c r="L1" s="115"/>
      <c r="M1" s="116"/>
      <c r="N1" s="116"/>
      <c r="O1" s="116"/>
      <c r="P1" s="116"/>
    </row>
    <row r="2" spans="1:16" ht="21.9" customHeight="1" x14ac:dyDescent="0.25">
      <c r="A2" s="963" t="s">
        <v>223</v>
      </c>
      <c r="B2" s="964"/>
      <c r="C2" s="964"/>
      <c r="D2" s="964"/>
      <c r="E2" s="964"/>
      <c r="F2" s="965"/>
      <c r="G2" s="116"/>
      <c r="H2" s="116"/>
      <c r="I2" s="116"/>
      <c r="J2" s="115"/>
      <c r="L2" s="117"/>
      <c r="M2" s="117"/>
      <c r="N2" s="117"/>
      <c r="O2" s="117"/>
      <c r="P2" s="117"/>
    </row>
    <row r="3" spans="1:16" s="118" customFormat="1" ht="21.9" customHeight="1" x14ac:dyDescent="0.25">
      <c r="A3" s="963" t="s">
        <v>37</v>
      </c>
      <c r="B3" s="964"/>
      <c r="C3" s="966" t="str">
        <f>+'Annex-A'!C3:G3</f>
        <v>MUHAMMAD RAHIL IQBAL</v>
      </c>
      <c r="D3" s="966"/>
      <c r="E3" s="591" t="s">
        <v>38</v>
      </c>
      <c r="F3" s="596" t="str">
        <f>PROFILE!AU7</f>
        <v>2024</v>
      </c>
    </row>
    <row r="4" spans="1:16" s="118" customFormat="1" ht="21.9" customHeight="1" x14ac:dyDescent="0.25">
      <c r="A4" s="963" t="s">
        <v>39</v>
      </c>
      <c r="B4" s="964"/>
      <c r="C4" s="966" t="str">
        <f>+'IND (BUS PLUS)'!C5:F5</f>
        <v>-</v>
      </c>
      <c r="D4" s="966"/>
      <c r="E4" s="591" t="s">
        <v>40</v>
      </c>
      <c r="F4" s="597" t="str">
        <f>+'Annex-B'!G5</f>
        <v>-</v>
      </c>
    </row>
    <row r="5" spans="1:16" s="121" customFormat="1" ht="21.9" customHeight="1" x14ac:dyDescent="0.25">
      <c r="A5" s="598"/>
      <c r="B5" s="119" t="s">
        <v>42</v>
      </c>
      <c r="C5" s="964" t="s">
        <v>43</v>
      </c>
      <c r="D5" s="964"/>
      <c r="E5" s="120" t="s">
        <v>44</v>
      </c>
      <c r="F5" s="599" t="s">
        <v>156</v>
      </c>
    </row>
    <row r="6" spans="1:16" ht="21.9" customHeight="1" x14ac:dyDescent="0.25">
      <c r="A6" s="967" t="s">
        <v>223</v>
      </c>
      <c r="B6" s="122">
        <v>1</v>
      </c>
      <c r="C6" s="969" t="s">
        <v>411</v>
      </c>
      <c r="D6" s="969"/>
      <c r="E6" s="120">
        <v>7089</v>
      </c>
      <c r="F6" s="600">
        <f>SUM(F7:F21)-SUM(F22)</f>
        <v>0</v>
      </c>
      <c r="L6" s="123"/>
      <c r="M6" s="123"/>
      <c r="N6" s="123"/>
      <c r="O6" s="123"/>
      <c r="P6" s="123"/>
    </row>
    <row r="7" spans="1:16" ht="21.9" customHeight="1" x14ac:dyDescent="0.25">
      <c r="A7" s="967"/>
      <c r="B7" s="122">
        <v>2</v>
      </c>
      <c r="C7" s="959" t="s">
        <v>127</v>
      </c>
      <c r="D7" s="959"/>
      <c r="E7" s="124">
        <v>7051</v>
      </c>
      <c r="F7" s="601"/>
      <c r="L7" s="123"/>
      <c r="M7" s="123"/>
      <c r="N7" s="123"/>
      <c r="O7" s="123"/>
      <c r="P7" s="123"/>
    </row>
    <row r="8" spans="1:16" ht="21.9" customHeight="1" x14ac:dyDescent="0.25">
      <c r="A8" s="967"/>
      <c r="B8" s="122">
        <v>3</v>
      </c>
      <c r="C8" s="959" t="s">
        <v>224</v>
      </c>
      <c r="D8" s="959"/>
      <c r="E8" s="124">
        <v>7052</v>
      </c>
      <c r="F8" s="601"/>
      <c r="L8" s="123"/>
      <c r="M8" s="123"/>
      <c r="N8" s="123"/>
      <c r="O8" s="123"/>
      <c r="P8" s="123"/>
    </row>
    <row r="9" spans="1:16" ht="21.9" customHeight="1" x14ac:dyDescent="0.25">
      <c r="A9" s="967"/>
      <c r="B9" s="122">
        <v>4</v>
      </c>
      <c r="C9" s="959" t="s">
        <v>225</v>
      </c>
      <c r="D9" s="959"/>
      <c r="E9" s="124">
        <v>7055</v>
      </c>
      <c r="F9" s="602"/>
      <c r="L9" s="123"/>
      <c r="M9" s="123"/>
      <c r="N9" s="123"/>
      <c r="O9" s="123"/>
      <c r="P9" s="123"/>
    </row>
    <row r="10" spans="1:16" ht="21.9" customHeight="1" x14ac:dyDescent="0.25">
      <c r="A10" s="967"/>
      <c r="B10" s="122">
        <v>5</v>
      </c>
      <c r="C10" s="959" t="s">
        <v>226</v>
      </c>
      <c r="D10" s="959"/>
      <c r="E10" s="124">
        <v>7056</v>
      </c>
      <c r="F10" s="602"/>
      <c r="L10" s="123"/>
      <c r="M10" s="123"/>
      <c r="N10" s="123"/>
      <c r="O10" s="123"/>
      <c r="P10" s="123"/>
    </row>
    <row r="11" spans="1:16" ht="21.9" customHeight="1" x14ac:dyDescent="0.25">
      <c r="A11" s="967"/>
      <c r="B11" s="122">
        <v>6</v>
      </c>
      <c r="C11" s="959" t="s">
        <v>227</v>
      </c>
      <c r="D11" s="959"/>
      <c r="E11" s="124">
        <v>7058</v>
      </c>
      <c r="F11" s="602"/>
      <c r="L11" s="123"/>
      <c r="M11" s="123"/>
      <c r="N11" s="123"/>
      <c r="O11" s="123"/>
      <c r="P11" s="123"/>
    </row>
    <row r="12" spans="1:16" ht="21.9" customHeight="1" x14ac:dyDescent="0.25">
      <c r="A12" s="967"/>
      <c r="B12" s="122">
        <v>7</v>
      </c>
      <c r="C12" s="959" t="s">
        <v>228</v>
      </c>
      <c r="D12" s="959"/>
      <c r="E12" s="124">
        <v>7059</v>
      </c>
      <c r="F12" s="603"/>
      <c r="L12" s="123"/>
      <c r="M12" s="123"/>
      <c r="N12" s="123"/>
      <c r="O12" s="123"/>
      <c r="P12" s="123"/>
    </row>
    <row r="13" spans="1:16" ht="21.9" customHeight="1" x14ac:dyDescent="0.25">
      <c r="A13" s="967"/>
      <c r="B13" s="122">
        <v>8</v>
      </c>
      <c r="C13" s="959" t="s">
        <v>118</v>
      </c>
      <c r="D13" s="959"/>
      <c r="E13" s="124">
        <v>7060</v>
      </c>
      <c r="F13" s="603"/>
      <c r="L13" s="123"/>
      <c r="M13" s="123"/>
      <c r="N13" s="123"/>
      <c r="O13" s="123"/>
      <c r="P13" s="123"/>
    </row>
    <row r="14" spans="1:16" ht="21.9" customHeight="1" x14ac:dyDescent="0.25">
      <c r="A14" s="967"/>
      <c r="B14" s="122">
        <v>9</v>
      </c>
      <c r="C14" s="959" t="s">
        <v>229</v>
      </c>
      <c r="D14" s="959"/>
      <c r="E14" s="124">
        <v>7061</v>
      </c>
      <c r="F14" s="603"/>
      <c r="L14" s="123"/>
      <c r="M14" s="123"/>
      <c r="N14" s="123"/>
      <c r="O14" s="123"/>
      <c r="P14" s="123"/>
    </row>
    <row r="15" spans="1:16" ht="21.9" customHeight="1" x14ac:dyDescent="0.25">
      <c r="A15" s="967"/>
      <c r="B15" s="122">
        <v>10</v>
      </c>
      <c r="C15" s="959" t="s">
        <v>396</v>
      </c>
      <c r="D15" s="959"/>
      <c r="E15" s="124">
        <v>7066</v>
      </c>
      <c r="F15" s="603"/>
      <c r="L15" s="123"/>
      <c r="M15" s="123"/>
      <c r="N15" s="123"/>
      <c r="O15" s="123"/>
      <c r="P15" s="123"/>
    </row>
    <row r="16" spans="1:16" ht="21.9" customHeight="1" x14ac:dyDescent="0.25">
      <c r="A16" s="967"/>
      <c r="B16" s="122">
        <v>11</v>
      </c>
      <c r="C16" s="959" t="s">
        <v>230</v>
      </c>
      <c r="D16" s="959"/>
      <c r="E16" s="124">
        <v>7070</v>
      </c>
      <c r="F16" s="603"/>
      <c r="L16" s="123"/>
      <c r="M16" s="123"/>
      <c r="N16" s="123"/>
      <c r="O16" s="123"/>
      <c r="P16" s="123"/>
    </row>
    <row r="17" spans="1:16" ht="21.9" customHeight="1" x14ac:dyDescent="0.25">
      <c r="A17" s="967"/>
      <c r="B17" s="122">
        <v>12</v>
      </c>
      <c r="C17" s="959" t="s">
        <v>231</v>
      </c>
      <c r="D17" s="959"/>
      <c r="E17" s="124">
        <v>7071</v>
      </c>
      <c r="F17" s="603"/>
      <c r="L17" s="123"/>
      <c r="M17" s="123"/>
      <c r="N17" s="123"/>
      <c r="O17" s="123"/>
      <c r="P17" s="123"/>
    </row>
    <row r="18" spans="1:16" ht="21.9" customHeight="1" x14ac:dyDescent="0.25">
      <c r="A18" s="967"/>
      <c r="B18" s="122">
        <v>13</v>
      </c>
      <c r="C18" s="959" t="s">
        <v>232</v>
      </c>
      <c r="D18" s="959"/>
      <c r="E18" s="124">
        <v>7072</v>
      </c>
      <c r="F18" s="603"/>
      <c r="L18" s="123"/>
      <c r="M18" s="123"/>
      <c r="N18" s="123"/>
      <c r="O18" s="123"/>
      <c r="P18" s="123"/>
    </row>
    <row r="19" spans="1:16" ht="21.9" customHeight="1" x14ac:dyDescent="0.25">
      <c r="A19" s="967"/>
      <c r="B19" s="122">
        <v>14</v>
      </c>
      <c r="C19" s="959" t="s">
        <v>395</v>
      </c>
      <c r="D19" s="959"/>
      <c r="E19" s="124">
        <v>7073</v>
      </c>
      <c r="F19" s="603"/>
      <c r="L19" s="123"/>
      <c r="M19" s="123"/>
      <c r="N19" s="123"/>
      <c r="O19" s="123"/>
      <c r="P19" s="123"/>
    </row>
    <row r="20" spans="1:16" ht="21.9" customHeight="1" x14ac:dyDescent="0.25">
      <c r="A20" s="967"/>
      <c r="B20" s="122">
        <v>15</v>
      </c>
      <c r="C20" s="959" t="s">
        <v>394</v>
      </c>
      <c r="D20" s="959"/>
      <c r="E20" s="124">
        <v>7076</v>
      </c>
      <c r="F20" s="603"/>
      <c r="L20" s="123"/>
      <c r="M20" s="123"/>
      <c r="N20" s="123"/>
      <c r="O20" s="123"/>
      <c r="P20" s="123"/>
    </row>
    <row r="21" spans="1:16" ht="21.9" customHeight="1" x14ac:dyDescent="0.25">
      <c r="A21" s="967"/>
      <c r="B21" s="122">
        <v>16</v>
      </c>
      <c r="C21" s="959" t="s">
        <v>233</v>
      </c>
      <c r="D21" s="959"/>
      <c r="E21" s="124">
        <v>7087</v>
      </c>
      <c r="F21" s="603"/>
      <c r="L21" s="123"/>
      <c r="M21" s="123"/>
      <c r="N21" s="123"/>
      <c r="O21" s="123"/>
      <c r="P21" s="123"/>
    </row>
    <row r="22" spans="1:16" ht="21.9" customHeight="1" x14ac:dyDescent="0.25">
      <c r="A22" s="967"/>
      <c r="B22" s="122">
        <v>17</v>
      </c>
      <c r="C22" s="970" t="s">
        <v>234</v>
      </c>
      <c r="D22" s="970"/>
      <c r="E22" s="590">
        <v>7088</v>
      </c>
      <c r="F22" s="601"/>
      <c r="L22" s="123"/>
      <c r="M22" s="123"/>
      <c r="N22" s="123"/>
      <c r="O22" s="123"/>
      <c r="P22" s="123"/>
    </row>
    <row r="23" spans="1:16" s="128" customFormat="1" ht="21.9" customHeight="1" x14ac:dyDescent="0.25">
      <c r="A23" s="967"/>
      <c r="B23" s="122"/>
      <c r="C23" s="119" t="s">
        <v>235</v>
      </c>
      <c r="D23" s="119" t="s">
        <v>37</v>
      </c>
      <c r="E23" s="125"/>
      <c r="F23" s="604"/>
      <c r="G23" s="126"/>
      <c r="H23" s="126"/>
      <c r="I23" s="126"/>
      <c r="J23" s="126"/>
      <c r="K23" s="126"/>
      <c r="L23" s="127"/>
      <c r="M23" s="127"/>
      <c r="N23" s="127"/>
      <c r="O23" s="127"/>
      <c r="P23" s="127"/>
    </row>
    <row r="24" spans="1:16" ht="21.9" customHeight="1" x14ac:dyDescent="0.25">
      <c r="A24" s="967"/>
      <c r="B24" s="122">
        <v>18</v>
      </c>
      <c r="C24" s="129"/>
      <c r="D24" s="129"/>
      <c r="E24" s="125"/>
      <c r="F24" s="601"/>
      <c r="L24" s="123"/>
      <c r="M24" s="123"/>
      <c r="N24" s="123"/>
      <c r="O24" s="123"/>
      <c r="P24" s="123"/>
    </row>
    <row r="25" spans="1:16" ht="21.9" customHeight="1" x14ac:dyDescent="0.25">
      <c r="A25" s="967"/>
      <c r="B25" s="122">
        <v>19</v>
      </c>
      <c r="C25" s="129"/>
      <c r="D25" s="129"/>
      <c r="E25" s="125"/>
      <c r="F25" s="601"/>
      <c r="L25" s="123"/>
      <c r="M25" s="123"/>
      <c r="N25" s="123"/>
      <c r="O25" s="123"/>
      <c r="P25" s="123"/>
    </row>
    <row r="26" spans="1:16" ht="21.9" customHeight="1" x14ac:dyDescent="0.25">
      <c r="A26" s="967"/>
      <c r="B26" s="122">
        <v>20</v>
      </c>
      <c r="C26" s="129"/>
      <c r="D26" s="129"/>
      <c r="E26" s="125"/>
      <c r="F26" s="601"/>
      <c r="L26" s="123"/>
      <c r="M26" s="123"/>
      <c r="N26" s="123"/>
      <c r="O26" s="123"/>
      <c r="P26" s="123"/>
    </row>
    <row r="27" spans="1:16" ht="21.9" customHeight="1" x14ac:dyDescent="0.25">
      <c r="A27" s="968"/>
      <c r="B27" s="593">
        <v>21</v>
      </c>
      <c r="C27" s="594"/>
      <c r="D27" s="594"/>
      <c r="E27" s="595"/>
      <c r="F27" s="605"/>
      <c r="L27" s="123"/>
      <c r="M27" s="123"/>
      <c r="N27" s="123"/>
      <c r="O27" s="123"/>
      <c r="P27" s="123"/>
    </row>
    <row r="28" spans="1:16" s="130" customFormat="1" ht="21.9" customHeight="1" thickBot="1" x14ac:dyDescent="0.3">
      <c r="A28" s="606" t="s">
        <v>70</v>
      </c>
      <c r="B28" s="607"/>
      <c r="C28" s="608"/>
      <c r="D28" s="609"/>
      <c r="E28" s="610" t="s">
        <v>71</v>
      </c>
      <c r="F28" s="611"/>
    </row>
    <row r="29" spans="1:16" ht="18" customHeight="1" x14ac:dyDescent="0.25">
      <c r="L29" s="123"/>
      <c r="M29" s="123"/>
      <c r="N29" s="123"/>
      <c r="O29" s="123"/>
      <c r="P29" s="123"/>
    </row>
    <row r="30" spans="1:16" ht="18" customHeight="1" x14ac:dyDescent="0.25">
      <c r="G30" s="131"/>
      <c r="H30" s="131"/>
      <c r="I30" s="131"/>
      <c r="L30" s="123"/>
      <c r="M30" s="123"/>
      <c r="N30" s="123"/>
      <c r="O30" s="123"/>
      <c r="P30" s="123"/>
    </row>
    <row r="31" spans="1:16" ht="18" customHeight="1" x14ac:dyDescent="0.25">
      <c r="G31" s="131"/>
      <c r="H31" s="131"/>
      <c r="I31" s="131"/>
      <c r="L31" s="123"/>
      <c r="M31" s="123"/>
      <c r="N31" s="123"/>
      <c r="O31" s="123"/>
      <c r="P31" s="123"/>
    </row>
    <row r="32" spans="1:16" ht="18" customHeight="1" x14ac:dyDescent="0.25">
      <c r="I32" s="132"/>
      <c r="L32" s="123"/>
      <c r="M32" s="123"/>
      <c r="N32" s="123"/>
      <c r="O32" s="123"/>
      <c r="P32" s="123"/>
    </row>
    <row r="33" spans="1:233" ht="18" customHeight="1" x14ac:dyDescent="0.25">
      <c r="G33" s="133"/>
      <c r="H33" s="133"/>
      <c r="I33" s="133"/>
      <c r="L33" s="123"/>
      <c r="M33" s="123"/>
      <c r="N33" s="123"/>
      <c r="O33" s="123"/>
      <c r="P33" s="123"/>
    </row>
    <row r="34" spans="1:233" ht="18" customHeight="1" x14ac:dyDescent="0.25">
      <c r="L34" s="123"/>
      <c r="M34" s="123"/>
      <c r="N34" s="123"/>
      <c r="O34" s="123"/>
      <c r="P34" s="123"/>
    </row>
    <row r="35" spans="1:233" s="114" customFormat="1" ht="18" customHeight="1" x14ac:dyDescent="0.25">
      <c r="A35" s="113"/>
      <c r="B35" s="113"/>
      <c r="C35" s="113"/>
      <c r="D35" s="113"/>
      <c r="E35" s="113"/>
      <c r="F35" s="113"/>
      <c r="L35" s="123"/>
      <c r="M35" s="123"/>
      <c r="N35" s="123"/>
      <c r="O35" s="123"/>
      <c r="P35" s="123"/>
    </row>
    <row r="36" spans="1:233" s="114" customFormat="1" ht="18" customHeight="1" x14ac:dyDescent="0.25">
      <c r="A36" s="113"/>
      <c r="B36" s="113"/>
      <c r="C36" s="113"/>
      <c r="D36" s="113"/>
      <c r="E36" s="113"/>
      <c r="F36" s="113"/>
      <c r="L36" s="123"/>
      <c r="M36" s="123"/>
      <c r="N36" s="123"/>
      <c r="O36" s="123"/>
      <c r="P36" s="123"/>
    </row>
    <row r="37" spans="1:233" s="114" customFormat="1" ht="18" customHeight="1" x14ac:dyDescent="0.25">
      <c r="A37" s="113"/>
      <c r="B37" s="113"/>
      <c r="C37" s="113"/>
      <c r="D37" s="113"/>
      <c r="E37" s="113"/>
      <c r="F37" s="113"/>
      <c r="L37" s="123"/>
      <c r="M37" s="123"/>
      <c r="N37" s="123"/>
      <c r="O37" s="123"/>
      <c r="P37" s="123"/>
    </row>
    <row r="38" spans="1:233" s="114" customFormat="1" ht="18" customHeight="1" x14ac:dyDescent="0.25">
      <c r="A38" s="113"/>
      <c r="B38" s="113"/>
      <c r="C38" s="113"/>
      <c r="D38" s="113"/>
      <c r="E38" s="113"/>
      <c r="F38" s="113"/>
      <c r="L38" s="123"/>
      <c r="M38" s="123"/>
      <c r="N38" s="123"/>
      <c r="O38" s="123"/>
      <c r="P38" s="123"/>
    </row>
    <row r="39" spans="1:233" s="114" customFormat="1" ht="18" customHeight="1" x14ac:dyDescent="0.25">
      <c r="A39" s="113"/>
      <c r="B39" s="113"/>
      <c r="C39" s="113"/>
      <c r="D39" s="113"/>
      <c r="E39" s="113"/>
      <c r="F39" s="113"/>
      <c r="L39" s="123"/>
      <c r="M39" s="123"/>
      <c r="N39" s="123"/>
      <c r="O39" s="123"/>
      <c r="P39" s="123"/>
    </row>
    <row r="40" spans="1:233" ht="18" customHeight="1" x14ac:dyDescent="0.25">
      <c r="L40" s="123"/>
      <c r="M40" s="123"/>
      <c r="N40" s="123"/>
      <c r="O40" s="123"/>
      <c r="P40" s="123"/>
    </row>
    <row r="41" spans="1:233" ht="18" customHeight="1" x14ac:dyDescent="0.25">
      <c r="L41" s="123"/>
      <c r="M41" s="123"/>
      <c r="N41" s="123"/>
      <c r="O41" s="123"/>
      <c r="P41" s="123"/>
    </row>
    <row r="42" spans="1:233" ht="18" customHeight="1" x14ac:dyDescent="0.25">
      <c r="L42" s="123"/>
      <c r="M42" s="123"/>
      <c r="N42" s="123"/>
      <c r="O42" s="123"/>
      <c r="P42" s="123"/>
    </row>
    <row r="43" spans="1:233" ht="18" customHeight="1" x14ac:dyDescent="0.25">
      <c r="L43" s="123"/>
      <c r="M43" s="123"/>
      <c r="N43" s="123"/>
      <c r="O43" s="123"/>
      <c r="P43" s="123"/>
    </row>
    <row r="44" spans="1:233" ht="18" customHeight="1" x14ac:dyDescent="0.25">
      <c r="G44" s="131"/>
      <c r="H44" s="131"/>
      <c r="I44" s="131"/>
      <c r="L44" s="123"/>
      <c r="M44" s="123"/>
      <c r="N44" s="123"/>
      <c r="O44" s="123"/>
      <c r="P44" s="123"/>
    </row>
    <row r="45" spans="1:233" s="114" customFormat="1" ht="18" customHeight="1" x14ac:dyDescent="0.25">
      <c r="A45" s="113"/>
      <c r="B45" s="113"/>
      <c r="C45" s="113"/>
      <c r="D45" s="113"/>
      <c r="E45" s="113"/>
      <c r="F45" s="113"/>
      <c r="G45" s="131"/>
      <c r="H45" s="131"/>
      <c r="I45" s="131"/>
      <c r="L45" s="123"/>
      <c r="M45" s="123"/>
      <c r="N45" s="123"/>
      <c r="O45" s="123"/>
      <c r="P45" s="123"/>
      <c r="HU45" s="115"/>
      <c r="HV45" s="115"/>
      <c r="HW45" s="115"/>
      <c r="HX45" s="115"/>
      <c r="HY45" s="115"/>
    </row>
    <row r="46" spans="1:233" s="114" customFormat="1" ht="18" customHeight="1" x14ac:dyDescent="0.25">
      <c r="A46" s="113"/>
      <c r="B46" s="113"/>
      <c r="C46" s="113"/>
      <c r="D46" s="113"/>
      <c r="E46" s="113"/>
      <c r="F46" s="113"/>
      <c r="G46" s="131"/>
      <c r="H46" s="131"/>
      <c r="I46" s="131"/>
      <c r="L46" s="123"/>
      <c r="M46" s="123"/>
      <c r="N46" s="123"/>
      <c r="O46" s="123"/>
      <c r="P46" s="123"/>
    </row>
    <row r="47" spans="1:233" s="113" customFormat="1" ht="18" customHeight="1" x14ac:dyDescent="0.25"/>
    <row r="48" spans="1:233" s="113" customFormat="1" ht="18" customHeight="1" x14ac:dyDescent="0.25"/>
  </sheetData>
  <sheetProtection selectLockedCells="1" selectUnlockedCells="1"/>
  <mergeCells count="25">
    <mergeCell ref="C9:D9"/>
    <mergeCell ref="C22:D22"/>
    <mergeCell ref="C16:D16"/>
    <mergeCell ref="C17:D17"/>
    <mergeCell ref="C18:D18"/>
    <mergeCell ref="C11:D11"/>
    <mergeCell ref="C19:D19"/>
    <mergeCell ref="C20:D20"/>
    <mergeCell ref="C21:D21"/>
    <mergeCell ref="C12:D12"/>
    <mergeCell ref="C13:D13"/>
    <mergeCell ref="C10:D10"/>
    <mergeCell ref="A1:F1"/>
    <mergeCell ref="A2:F2"/>
    <mergeCell ref="A3:B3"/>
    <mergeCell ref="C3:D3"/>
    <mergeCell ref="A4:B4"/>
    <mergeCell ref="C4:D4"/>
    <mergeCell ref="C5:D5"/>
    <mergeCell ref="A6:A27"/>
    <mergeCell ref="C6:D6"/>
    <mergeCell ref="C7:D7"/>
    <mergeCell ref="C14:D14"/>
    <mergeCell ref="C15:D15"/>
    <mergeCell ref="C8:D8"/>
  </mergeCells>
  <phoneticPr fontId="32" type="noConversion"/>
  <conditionalFormatting sqref="L33">
    <cfRule type="expression" dxfId="23" priority="1" stopIfTrue="1">
      <formula>"#REF!&lt;&gt;#REF!"</formula>
    </cfRule>
  </conditionalFormatting>
  <dataValidations disablePrompts="1" count="2">
    <dataValidation type="whole" operator="greaterThanOrEqual" allowBlank="1" showInputMessage="1" showErrorMessage="1" sqref="F24:F27 F6:F8 F22">
      <formula1>0</formula1>
      <formula2>0</formula2>
    </dataValidation>
    <dataValidation type="whole" operator="greaterThanOrEqual" allowBlank="1" showInputMessage="1" showErrorMessage="1" sqref="F9:F21">
      <formula1>0</formula1>
    </dataValidation>
  </dataValidations>
  <printOptions horizontalCentered="1"/>
  <pageMargins left="0.25" right="0.25" top="0.75" bottom="0.75" header="0.51180555555555596" footer="0.51180555555555596"/>
  <pageSetup paperSize="5" scale="95" firstPageNumber="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176"/>
  <sheetViews>
    <sheetView workbookViewId="0">
      <selection activeCell="A18" sqref="A18:A29"/>
    </sheetView>
  </sheetViews>
  <sheetFormatPr defaultColWidth="2.5546875" defaultRowHeight="20.100000000000001" customHeight="1" outlineLevelRow="1" x14ac:dyDescent="0.25"/>
  <cols>
    <col min="1" max="1" width="5.109375" style="87" customWidth="1"/>
    <col min="2" max="2" width="5.109375" style="134" customWidth="1"/>
    <col min="3" max="3" width="20.6640625" style="104" customWidth="1"/>
    <col min="4" max="7" width="18.44140625" style="87" customWidth="1"/>
    <col min="8" max="8" width="9.5546875" style="87" customWidth="1"/>
    <col min="9" max="9" width="9.5546875" style="135" customWidth="1"/>
    <col min="10" max="10" width="14" style="87" customWidth="1"/>
    <col min="11" max="11" width="2.5546875" style="87"/>
    <col min="12" max="12" width="12.88671875" style="87" customWidth="1"/>
    <col min="13" max="16384" width="2.5546875" style="87"/>
  </cols>
  <sheetData>
    <row r="1" spans="1:10" ht="21.9" customHeight="1" x14ac:dyDescent="0.25">
      <c r="A1" s="994" t="s">
        <v>236</v>
      </c>
      <c r="B1" s="995"/>
      <c r="C1" s="995"/>
      <c r="D1" s="995"/>
      <c r="E1" s="995"/>
      <c r="F1" s="995"/>
      <c r="G1" s="995"/>
      <c r="H1" s="995"/>
      <c r="I1" s="995"/>
      <c r="J1" s="568" t="s">
        <v>237</v>
      </c>
    </row>
    <row r="2" spans="1:10" s="105" customFormat="1" ht="21.9" customHeight="1" x14ac:dyDescent="0.25">
      <c r="A2" s="971" t="s">
        <v>37</v>
      </c>
      <c r="B2" s="901"/>
      <c r="C2" s="1004" t="str">
        <f>+'Annex-A'!C3:G3</f>
        <v>MUHAMMAD RAHIL IQBAL</v>
      </c>
      <c r="D2" s="1004"/>
      <c r="E2" s="1004"/>
      <c r="F2" s="1004"/>
      <c r="G2" s="1004"/>
      <c r="H2" s="1004"/>
      <c r="I2" s="498" t="s">
        <v>38</v>
      </c>
      <c r="J2" s="569" t="str">
        <f>PROFILE!AU7</f>
        <v>2024</v>
      </c>
    </row>
    <row r="3" spans="1:10" s="105" customFormat="1" ht="21.9" customHeight="1" x14ac:dyDescent="0.25">
      <c r="A3" s="971" t="s">
        <v>39</v>
      </c>
      <c r="B3" s="901"/>
      <c r="C3" s="1004" t="str">
        <f>+'IND (BUS PLUS)'!C5:F5</f>
        <v>-</v>
      </c>
      <c r="D3" s="1004"/>
      <c r="E3" s="1004"/>
      <c r="F3" s="1004"/>
      <c r="G3" s="1004"/>
      <c r="H3" s="1004"/>
      <c r="I3" s="498" t="s">
        <v>40</v>
      </c>
      <c r="J3" s="570" t="str">
        <f>+'IND (BUS PLUS)'!H5</f>
        <v>-</v>
      </c>
    </row>
    <row r="4" spans="1:10" s="105" customFormat="1" ht="26.1" customHeight="1" x14ac:dyDescent="0.25">
      <c r="A4" s="1005" t="s">
        <v>238</v>
      </c>
      <c r="B4" s="1006"/>
      <c r="C4" s="835" t="str">
        <f>+PROFILE!K6</f>
        <v>-</v>
      </c>
      <c r="D4" s="836"/>
      <c r="E4" s="836"/>
      <c r="F4" s="836"/>
      <c r="G4" s="836"/>
      <c r="H4" s="836"/>
      <c r="I4" s="321"/>
      <c r="J4" s="571">
        <f>+'IND (BUS PLUS)'!H6</f>
        <v>0</v>
      </c>
    </row>
    <row r="5" spans="1:10" s="105" customFormat="1" ht="26.1" customHeight="1" x14ac:dyDescent="0.25">
      <c r="A5" s="1007" t="s">
        <v>239</v>
      </c>
      <c r="B5" s="991"/>
      <c r="C5" s="835" t="str">
        <f>+PROFILE!K5</f>
        <v>-</v>
      </c>
      <c r="D5" s="836"/>
      <c r="E5" s="836"/>
      <c r="F5" s="836"/>
      <c r="G5" s="836"/>
      <c r="H5" s="836"/>
      <c r="I5" s="506"/>
      <c r="J5" s="572"/>
    </row>
    <row r="6" spans="1:10" ht="21.9" customHeight="1" x14ac:dyDescent="0.25">
      <c r="A6" s="985" t="s">
        <v>240</v>
      </c>
      <c r="B6" s="215">
        <v>1</v>
      </c>
      <c r="C6" s="986" t="s">
        <v>241</v>
      </c>
      <c r="D6" s="986"/>
      <c r="E6" s="986"/>
      <c r="F6" s="986"/>
      <c r="G6" s="986"/>
      <c r="H6" s="986"/>
      <c r="I6" s="503">
        <v>7001</v>
      </c>
      <c r="J6" s="573">
        <f>SUM(J8:J17)</f>
        <v>0</v>
      </c>
    </row>
    <row r="7" spans="1:10" s="137" customFormat="1" ht="39.6" outlineLevel="1" x14ac:dyDescent="0.25">
      <c r="A7" s="985"/>
      <c r="B7" s="136"/>
      <c r="C7" s="501" t="s">
        <v>242</v>
      </c>
      <c r="D7" s="501" t="s">
        <v>243</v>
      </c>
      <c r="E7" s="502" t="s">
        <v>244</v>
      </c>
      <c r="F7" s="502" t="s">
        <v>245</v>
      </c>
      <c r="G7" s="501" t="s">
        <v>246</v>
      </c>
      <c r="H7" s="502" t="s">
        <v>247</v>
      </c>
      <c r="I7" s="498" t="s">
        <v>44</v>
      </c>
      <c r="J7" s="574" t="s">
        <v>248</v>
      </c>
    </row>
    <row r="8" spans="1:10" ht="21.9" customHeight="1" outlineLevel="1" x14ac:dyDescent="0.25">
      <c r="A8" s="985"/>
      <c r="B8" s="138" t="s">
        <v>249</v>
      </c>
      <c r="C8" s="139"/>
      <c r="D8" s="139"/>
      <c r="E8" s="139"/>
      <c r="F8" s="139"/>
      <c r="G8" s="139"/>
      <c r="H8" s="139"/>
      <c r="I8" s="23">
        <v>7001</v>
      </c>
      <c r="J8" s="575"/>
    </row>
    <row r="9" spans="1:10" ht="21.9" customHeight="1" outlineLevel="1" x14ac:dyDescent="0.25">
      <c r="A9" s="985"/>
      <c r="B9" s="138" t="s">
        <v>250</v>
      </c>
      <c r="C9" s="139"/>
      <c r="D9" s="139"/>
      <c r="E9" s="139"/>
      <c r="F9" s="139"/>
      <c r="G9" s="139"/>
      <c r="H9" s="139"/>
      <c r="I9" s="23">
        <v>7001</v>
      </c>
      <c r="J9" s="575"/>
    </row>
    <row r="10" spans="1:10" ht="21.9" customHeight="1" outlineLevel="1" x14ac:dyDescent="0.25">
      <c r="A10" s="985"/>
      <c r="B10" s="138" t="s">
        <v>251</v>
      </c>
      <c r="C10" s="139"/>
      <c r="D10" s="139"/>
      <c r="E10" s="139"/>
      <c r="F10" s="139"/>
      <c r="G10" s="139"/>
      <c r="H10" s="139"/>
      <c r="I10" s="23">
        <v>7001</v>
      </c>
      <c r="J10" s="575"/>
    </row>
    <row r="11" spans="1:10" ht="21.9" customHeight="1" outlineLevel="1" x14ac:dyDescent="0.25">
      <c r="A11" s="985"/>
      <c r="B11" s="138" t="s">
        <v>252</v>
      </c>
      <c r="C11" s="139"/>
      <c r="D11" s="139"/>
      <c r="E11" s="139"/>
      <c r="F11" s="139"/>
      <c r="G11" s="139"/>
      <c r="H11" s="139"/>
      <c r="I11" s="23">
        <v>7001</v>
      </c>
      <c r="J11" s="575"/>
    </row>
    <row r="12" spans="1:10" ht="21.9" customHeight="1" outlineLevel="1" x14ac:dyDescent="0.25">
      <c r="A12" s="985"/>
      <c r="B12" s="138" t="s">
        <v>253</v>
      </c>
      <c r="C12" s="139"/>
      <c r="D12" s="139"/>
      <c r="E12" s="139"/>
      <c r="F12" s="139"/>
      <c r="G12" s="139"/>
      <c r="H12" s="139"/>
      <c r="I12" s="23">
        <v>7001</v>
      </c>
      <c r="J12" s="575"/>
    </row>
    <row r="13" spans="1:10" ht="21.9" customHeight="1" outlineLevel="1" x14ac:dyDescent="0.25">
      <c r="A13" s="985"/>
      <c r="B13" s="138" t="s">
        <v>254</v>
      </c>
      <c r="C13" s="139"/>
      <c r="D13" s="139"/>
      <c r="E13" s="139"/>
      <c r="F13" s="139"/>
      <c r="G13" s="139"/>
      <c r="H13" s="139"/>
      <c r="I13" s="23">
        <v>7001</v>
      </c>
      <c r="J13" s="575"/>
    </row>
    <row r="14" spans="1:10" ht="21.9" customHeight="1" outlineLevel="1" x14ac:dyDescent="0.25">
      <c r="A14" s="985"/>
      <c r="B14" s="138" t="s">
        <v>255</v>
      </c>
      <c r="C14" s="139"/>
      <c r="D14" s="139"/>
      <c r="E14" s="139"/>
      <c r="F14" s="139"/>
      <c r="G14" s="139"/>
      <c r="H14" s="139"/>
      <c r="I14" s="23">
        <v>7001</v>
      </c>
      <c r="J14" s="575"/>
    </row>
    <row r="15" spans="1:10" ht="21.9" customHeight="1" outlineLevel="1" x14ac:dyDescent="0.25">
      <c r="A15" s="985"/>
      <c r="B15" s="138" t="s">
        <v>256</v>
      </c>
      <c r="C15" s="139"/>
      <c r="D15" s="139"/>
      <c r="E15" s="139"/>
      <c r="F15" s="139"/>
      <c r="G15" s="139"/>
      <c r="H15" s="139"/>
      <c r="I15" s="23">
        <v>7001</v>
      </c>
      <c r="J15" s="575"/>
    </row>
    <row r="16" spans="1:10" ht="21.9" customHeight="1" outlineLevel="1" x14ac:dyDescent="0.25">
      <c r="A16" s="985"/>
      <c r="B16" s="138" t="s">
        <v>257</v>
      </c>
      <c r="C16" s="139"/>
      <c r="D16" s="139"/>
      <c r="E16" s="139"/>
      <c r="F16" s="139"/>
      <c r="G16" s="139"/>
      <c r="H16" s="139"/>
      <c r="I16" s="23">
        <v>7001</v>
      </c>
      <c r="J16" s="575"/>
    </row>
    <row r="17" spans="1:10" ht="21.9" customHeight="1" outlineLevel="1" x14ac:dyDescent="0.25">
      <c r="A17" s="985"/>
      <c r="B17" s="138" t="s">
        <v>258</v>
      </c>
      <c r="C17" s="139"/>
      <c r="D17" s="139"/>
      <c r="E17" s="139"/>
      <c r="F17" s="139"/>
      <c r="G17" s="139"/>
      <c r="H17" s="139"/>
      <c r="I17" s="23">
        <v>7001</v>
      </c>
      <c r="J17" s="575"/>
    </row>
    <row r="18" spans="1:10" ht="21.9" customHeight="1" x14ac:dyDescent="0.25">
      <c r="A18" s="985" t="s">
        <v>259</v>
      </c>
      <c r="B18" s="215">
        <v>2</v>
      </c>
      <c r="C18" s="986" t="s">
        <v>408</v>
      </c>
      <c r="D18" s="986"/>
      <c r="E18" s="986"/>
      <c r="F18" s="986"/>
      <c r="G18" s="986"/>
      <c r="H18" s="986"/>
      <c r="I18" s="503">
        <v>7002</v>
      </c>
      <c r="J18" s="573">
        <f>SUM(J20:J29)</f>
        <v>0</v>
      </c>
    </row>
    <row r="19" spans="1:10" s="137" customFormat="1" ht="52.8" outlineLevel="1" x14ac:dyDescent="0.25">
      <c r="A19" s="985"/>
      <c r="B19" s="136"/>
      <c r="C19" s="501" t="s">
        <v>260</v>
      </c>
      <c r="D19" s="501" t="s">
        <v>261</v>
      </c>
      <c r="E19" s="501" t="s">
        <v>262</v>
      </c>
      <c r="F19" s="501" t="s">
        <v>263</v>
      </c>
      <c r="G19" s="501" t="s">
        <v>264</v>
      </c>
      <c r="H19" s="502" t="s">
        <v>247</v>
      </c>
      <c r="I19" s="498" t="s">
        <v>44</v>
      </c>
      <c r="J19" s="574" t="s">
        <v>248</v>
      </c>
    </row>
    <row r="20" spans="1:10" ht="21.9" customHeight="1" outlineLevel="1" x14ac:dyDescent="0.25">
      <c r="A20" s="985"/>
      <c r="B20" s="138" t="s">
        <v>249</v>
      </c>
      <c r="C20" s="998"/>
      <c r="D20" s="999"/>
      <c r="E20" s="999"/>
      <c r="F20" s="999"/>
      <c r="G20" s="999"/>
      <c r="H20" s="139"/>
      <c r="I20" s="23">
        <v>7002</v>
      </c>
      <c r="J20" s="575"/>
    </row>
    <row r="21" spans="1:10" ht="21.9" customHeight="1" outlineLevel="1" x14ac:dyDescent="0.25">
      <c r="A21" s="985"/>
      <c r="B21" s="138" t="s">
        <v>250</v>
      </c>
      <c r="C21" s="998"/>
      <c r="D21" s="999"/>
      <c r="E21" s="999"/>
      <c r="F21" s="999"/>
      <c r="G21" s="1000"/>
      <c r="H21" s="139"/>
      <c r="I21" s="23">
        <v>7002</v>
      </c>
      <c r="J21" s="575"/>
    </row>
    <row r="22" spans="1:10" ht="21.9" customHeight="1" outlineLevel="1" x14ac:dyDescent="0.25">
      <c r="A22" s="985"/>
      <c r="B22" s="138" t="s">
        <v>251</v>
      </c>
      <c r="C22" s="998"/>
      <c r="D22" s="999"/>
      <c r="E22" s="999"/>
      <c r="F22" s="999"/>
      <c r="G22" s="1000"/>
      <c r="H22" s="139"/>
      <c r="I22" s="23">
        <v>7002</v>
      </c>
      <c r="J22" s="575"/>
    </row>
    <row r="23" spans="1:10" ht="21.9" customHeight="1" outlineLevel="1" x14ac:dyDescent="0.25">
      <c r="A23" s="985"/>
      <c r="B23" s="138" t="s">
        <v>252</v>
      </c>
      <c r="C23" s="998"/>
      <c r="D23" s="999"/>
      <c r="E23" s="999"/>
      <c r="F23" s="999"/>
      <c r="G23" s="1000"/>
      <c r="H23" s="139"/>
      <c r="I23" s="23">
        <v>7002</v>
      </c>
      <c r="J23" s="575"/>
    </row>
    <row r="24" spans="1:10" ht="21.9" customHeight="1" outlineLevel="1" x14ac:dyDescent="0.25">
      <c r="A24" s="985"/>
      <c r="B24" s="138" t="s">
        <v>253</v>
      </c>
      <c r="C24" s="998"/>
      <c r="D24" s="999"/>
      <c r="E24" s="999"/>
      <c r="F24" s="999"/>
      <c r="G24" s="1000"/>
      <c r="H24" s="139"/>
      <c r="I24" s="23">
        <v>7002</v>
      </c>
      <c r="J24" s="575"/>
    </row>
    <row r="25" spans="1:10" ht="21.9" customHeight="1" outlineLevel="1" x14ac:dyDescent="0.25">
      <c r="A25" s="985"/>
      <c r="B25" s="138" t="s">
        <v>254</v>
      </c>
      <c r="C25" s="998"/>
      <c r="D25" s="999"/>
      <c r="E25" s="999"/>
      <c r="F25" s="999"/>
      <c r="G25" s="1000"/>
      <c r="H25" s="139"/>
      <c r="I25" s="23">
        <v>7002</v>
      </c>
      <c r="J25" s="575"/>
    </row>
    <row r="26" spans="1:10" ht="21.9" customHeight="1" outlineLevel="1" x14ac:dyDescent="0.25">
      <c r="A26" s="985"/>
      <c r="B26" s="138" t="s">
        <v>255</v>
      </c>
      <c r="C26" s="998"/>
      <c r="D26" s="999"/>
      <c r="E26" s="999"/>
      <c r="F26" s="999"/>
      <c r="G26" s="1000"/>
      <c r="H26" s="139"/>
      <c r="I26" s="23">
        <v>7002</v>
      </c>
      <c r="J26" s="575"/>
    </row>
    <row r="27" spans="1:10" ht="21.9" customHeight="1" outlineLevel="1" x14ac:dyDescent="0.25">
      <c r="A27" s="985"/>
      <c r="B27" s="138" t="s">
        <v>256</v>
      </c>
      <c r="C27" s="998"/>
      <c r="D27" s="999"/>
      <c r="E27" s="999"/>
      <c r="F27" s="999"/>
      <c r="G27" s="1000"/>
      <c r="H27" s="139"/>
      <c r="I27" s="23">
        <v>7002</v>
      </c>
      <c r="J27" s="575"/>
    </row>
    <row r="28" spans="1:10" ht="21.9" customHeight="1" outlineLevel="1" x14ac:dyDescent="0.25">
      <c r="A28" s="985"/>
      <c r="B28" s="138" t="s">
        <v>257</v>
      </c>
      <c r="C28" s="998"/>
      <c r="D28" s="999"/>
      <c r="E28" s="999"/>
      <c r="F28" s="999"/>
      <c r="G28" s="999"/>
      <c r="H28" s="139"/>
      <c r="I28" s="23">
        <v>7002</v>
      </c>
      <c r="J28" s="575"/>
    </row>
    <row r="29" spans="1:10" ht="21.9" customHeight="1" outlineLevel="1" x14ac:dyDescent="0.25">
      <c r="A29" s="985"/>
      <c r="B29" s="138" t="s">
        <v>258</v>
      </c>
      <c r="C29" s="998"/>
      <c r="D29" s="999"/>
      <c r="E29" s="999"/>
      <c r="F29" s="999"/>
      <c r="G29" s="999"/>
      <c r="H29" s="139"/>
      <c r="I29" s="23">
        <v>7002</v>
      </c>
      <c r="J29" s="575"/>
    </row>
    <row r="30" spans="1:10" ht="21.9" customHeight="1" x14ac:dyDescent="0.25">
      <c r="A30" s="997" t="s">
        <v>265</v>
      </c>
      <c r="B30" s="215">
        <v>3</v>
      </c>
      <c r="C30" s="986" t="s">
        <v>265</v>
      </c>
      <c r="D30" s="986"/>
      <c r="E30" s="986"/>
      <c r="F30" s="986"/>
      <c r="G30" s="986"/>
      <c r="H30" s="986"/>
      <c r="I30" s="503">
        <v>7003</v>
      </c>
      <c r="J30" s="573">
        <f>SUM(J32:J35)</f>
        <v>0</v>
      </c>
    </row>
    <row r="31" spans="1:10" s="140" customFormat="1" ht="21.9" customHeight="1" outlineLevel="1" x14ac:dyDescent="0.25">
      <c r="A31" s="997"/>
      <c r="B31" s="136"/>
      <c r="C31" s="1003" t="s">
        <v>266</v>
      </c>
      <c r="D31" s="1003"/>
      <c r="E31" s="1003"/>
      <c r="F31" s="1003"/>
      <c r="G31" s="1003"/>
      <c r="H31" s="502" t="s">
        <v>247</v>
      </c>
      <c r="I31" s="498" t="s">
        <v>44</v>
      </c>
      <c r="J31" s="574" t="s">
        <v>248</v>
      </c>
    </row>
    <row r="32" spans="1:10" s="140" customFormat="1" ht="21.9" customHeight="1" outlineLevel="1" x14ac:dyDescent="0.25">
      <c r="A32" s="997"/>
      <c r="B32" s="138" t="s">
        <v>249</v>
      </c>
      <c r="C32" s="1001"/>
      <c r="D32" s="1001"/>
      <c r="E32" s="1001"/>
      <c r="F32" s="1001"/>
      <c r="G32" s="1001"/>
      <c r="H32" s="505"/>
      <c r="I32" s="23">
        <v>7003</v>
      </c>
      <c r="J32" s="575"/>
    </row>
    <row r="33" spans="1:10" s="140" customFormat="1" ht="21.9" customHeight="1" outlineLevel="1" x14ac:dyDescent="0.25">
      <c r="A33" s="997"/>
      <c r="B33" s="138" t="s">
        <v>250</v>
      </c>
      <c r="C33" s="1001"/>
      <c r="D33" s="1001"/>
      <c r="E33" s="1001"/>
      <c r="F33" s="1001"/>
      <c r="G33" s="1001"/>
      <c r="H33" s="505"/>
      <c r="I33" s="23">
        <v>7003</v>
      </c>
      <c r="J33" s="575"/>
    </row>
    <row r="34" spans="1:10" s="140" customFormat="1" ht="21.9" customHeight="1" outlineLevel="1" x14ac:dyDescent="0.25">
      <c r="A34" s="997"/>
      <c r="B34" s="138" t="s">
        <v>251</v>
      </c>
      <c r="C34" s="1001"/>
      <c r="D34" s="1001"/>
      <c r="E34" s="1001"/>
      <c r="F34" s="1001"/>
      <c r="G34" s="1001"/>
      <c r="H34" s="505"/>
      <c r="I34" s="23">
        <v>7003</v>
      </c>
      <c r="J34" s="575"/>
    </row>
    <row r="35" spans="1:10" s="140" customFormat="1" ht="21.9" customHeight="1" outlineLevel="1" x14ac:dyDescent="0.25">
      <c r="A35" s="997"/>
      <c r="B35" s="138" t="s">
        <v>249</v>
      </c>
      <c r="C35" s="1002" t="s">
        <v>267</v>
      </c>
      <c r="D35" s="1002"/>
      <c r="E35" s="1002"/>
      <c r="F35" s="1002"/>
      <c r="G35" s="1002"/>
      <c r="H35" s="141">
        <v>1</v>
      </c>
      <c r="I35" s="23">
        <v>7003</v>
      </c>
      <c r="J35" s="575"/>
    </row>
    <row r="36" spans="1:10" ht="21.9" customHeight="1" x14ac:dyDescent="0.25">
      <c r="A36" s="997" t="s">
        <v>268</v>
      </c>
      <c r="B36" s="215">
        <v>4</v>
      </c>
      <c r="C36" s="986" t="s">
        <v>269</v>
      </c>
      <c r="D36" s="986"/>
      <c r="E36" s="986"/>
      <c r="F36" s="986"/>
      <c r="G36" s="986"/>
      <c r="H36" s="986"/>
      <c r="I36" s="503">
        <v>7004</v>
      </c>
      <c r="J36" s="573">
        <f>SUM(J38:J41)</f>
        <v>0</v>
      </c>
    </row>
    <row r="37" spans="1:10" s="140" customFormat="1" ht="21.9" customHeight="1" outlineLevel="1" x14ac:dyDescent="0.25">
      <c r="A37" s="997"/>
      <c r="B37" s="136"/>
      <c r="C37" s="989" t="s">
        <v>43</v>
      </c>
      <c r="D37" s="989"/>
      <c r="E37" s="989"/>
      <c r="F37" s="989"/>
      <c r="G37" s="989"/>
      <c r="H37" s="989"/>
      <c r="I37" s="498" t="s">
        <v>44</v>
      </c>
      <c r="J37" s="574" t="s">
        <v>248</v>
      </c>
    </row>
    <row r="38" spans="1:10" ht="21.9" customHeight="1" outlineLevel="1" x14ac:dyDescent="0.25">
      <c r="A38" s="997"/>
      <c r="B38" s="138" t="s">
        <v>249</v>
      </c>
      <c r="C38" s="987"/>
      <c r="D38" s="987"/>
      <c r="E38" s="987"/>
      <c r="F38" s="987"/>
      <c r="G38" s="987"/>
      <c r="H38" s="987"/>
      <c r="I38" s="503">
        <v>7004</v>
      </c>
      <c r="J38" s="575"/>
    </row>
    <row r="39" spans="1:10" ht="21.9" customHeight="1" outlineLevel="1" x14ac:dyDescent="0.25">
      <c r="A39" s="997"/>
      <c r="B39" s="138" t="s">
        <v>250</v>
      </c>
      <c r="C39" s="987"/>
      <c r="D39" s="987"/>
      <c r="E39" s="987"/>
      <c r="F39" s="987"/>
      <c r="G39" s="987"/>
      <c r="H39" s="987"/>
      <c r="I39" s="503">
        <v>7004</v>
      </c>
      <c r="J39" s="575"/>
    </row>
    <row r="40" spans="1:10" ht="21.9" customHeight="1" outlineLevel="1" x14ac:dyDescent="0.25">
      <c r="A40" s="997"/>
      <c r="B40" s="138" t="s">
        <v>251</v>
      </c>
      <c r="C40" s="987"/>
      <c r="D40" s="987"/>
      <c r="E40" s="987"/>
      <c r="F40" s="987"/>
      <c r="G40" s="987"/>
      <c r="H40" s="987"/>
      <c r="I40" s="503">
        <v>7004</v>
      </c>
      <c r="J40" s="575"/>
    </row>
    <row r="41" spans="1:10" ht="21.9" customHeight="1" outlineLevel="1" x14ac:dyDescent="0.25">
      <c r="A41" s="997"/>
      <c r="B41" s="138" t="s">
        <v>252</v>
      </c>
      <c r="C41" s="987"/>
      <c r="D41" s="987"/>
      <c r="E41" s="987"/>
      <c r="F41" s="987"/>
      <c r="G41" s="987"/>
      <c r="H41" s="987"/>
      <c r="I41" s="503">
        <v>7004</v>
      </c>
      <c r="J41" s="575"/>
    </row>
    <row r="42" spans="1:10" ht="21.9" customHeight="1" thickBot="1" x14ac:dyDescent="0.3">
      <c r="A42" s="576" t="s">
        <v>270</v>
      </c>
      <c r="B42" s="577"/>
      <c r="C42" s="578"/>
      <c r="D42" s="579"/>
      <c r="E42" s="579"/>
      <c r="F42" s="579"/>
      <c r="G42" s="579"/>
      <c r="H42" s="579"/>
      <c r="I42" s="580" t="s">
        <v>71</v>
      </c>
      <c r="J42" s="551"/>
    </row>
    <row r="43" spans="1:10" ht="21.75" customHeight="1" x14ac:dyDescent="0.25">
      <c r="A43" s="994" t="s">
        <v>236</v>
      </c>
      <c r="B43" s="995"/>
      <c r="C43" s="995"/>
      <c r="D43" s="995"/>
      <c r="E43" s="995"/>
      <c r="F43" s="995"/>
      <c r="G43" s="995"/>
      <c r="H43" s="995"/>
      <c r="I43" s="995"/>
      <c r="J43" s="568" t="s">
        <v>271</v>
      </c>
    </row>
    <row r="44" spans="1:10" s="105" customFormat="1" ht="21.9" customHeight="1" x14ac:dyDescent="0.25">
      <c r="A44" s="971" t="s">
        <v>37</v>
      </c>
      <c r="B44" s="901"/>
      <c r="C44" s="996" t="str">
        <f>IF(C2="","",C2)</f>
        <v>MUHAMMAD RAHIL IQBAL</v>
      </c>
      <c r="D44" s="996"/>
      <c r="E44" s="996"/>
      <c r="F44" s="996"/>
      <c r="G44" s="996"/>
      <c r="H44" s="996"/>
      <c r="I44" s="498" t="s">
        <v>38</v>
      </c>
      <c r="J44" s="574" t="str">
        <f>J2</f>
        <v>2024</v>
      </c>
    </row>
    <row r="45" spans="1:10" s="105" customFormat="1" ht="21.9" customHeight="1" x14ac:dyDescent="0.25">
      <c r="A45" s="971" t="s">
        <v>39</v>
      </c>
      <c r="B45" s="901"/>
      <c r="C45" s="996" t="str">
        <f>IF(C3="","",C3)</f>
        <v>-</v>
      </c>
      <c r="D45" s="996"/>
      <c r="E45" s="996"/>
      <c r="F45" s="996"/>
      <c r="G45" s="996"/>
      <c r="H45" s="996"/>
      <c r="I45" s="498" t="s">
        <v>40</v>
      </c>
      <c r="J45" s="581" t="str">
        <f>+J3</f>
        <v>-</v>
      </c>
    </row>
    <row r="46" spans="1:10" ht="20.25" customHeight="1" x14ac:dyDescent="0.25">
      <c r="A46" s="997" t="s">
        <v>272</v>
      </c>
      <c r="B46" s="215">
        <v>5</v>
      </c>
      <c r="C46" s="986" t="s">
        <v>273</v>
      </c>
      <c r="D46" s="986"/>
      <c r="E46" s="986"/>
      <c r="F46" s="986"/>
      <c r="G46" s="986"/>
      <c r="H46" s="986"/>
      <c r="I46" s="503">
        <v>7005</v>
      </c>
      <c r="J46" s="573">
        <f>SUM(J48:J51)</f>
        <v>0</v>
      </c>
    </row>
    <row r="47" spans="1:10" s="140" customFormat="1" ht="20.25" customHeight="1" outlineLevel="1" x14ac:dyDescent="0.25">
      <c r="A47" s="997"/>
      <c r="B47" s="136"/>
      <c r="C47" s="989" t="s">
        <v>43</v>
      </c>
      <c r="D47" s="989"/>
      <c r="E47" s="989"/>
      <c r="F47" s="989"/>
      <c r="G47" s="989"/>
      <c r="H47" s="989"/>
      <c r="I47" s="498" t="s">
        <v>44</v>
      </c>
      <c r="J47" s="574" t="s">
        <v>248</v>
      </c>
    </row>
    <row r="48" spans="1:10" ht="20.25" customHeight="1" outlineLevel="1" x14ac:dyDescent="0.25">
      <c r="A48" s="997"/>
      <c r="B48" s="138" t="s">
        <v>249</v>
      </c>
      <c r="C48" s="921" t="s">
        <v>274</v>
      </c>
      <c r="D48" s="921"/>
      <c r="E48" s="921"/>
      <c r="F48" s="921"/>
      <c r="G48" s="921"/>
      <c r="H48" s="921"/>
      <c r="I48" s="503">
        <v>7005</v>
      </c>
      <c r="J48" s="575"/>
    </row>
    <row r="49" spans="1:10" ht="20.25" customHeight="1" outlineLevel="1" x14ac:dyDescent="0.25">
      <c r="A49" s="997"/>
      <c r="B49" s="138" t="s">
        <v>250</v>
      </c>
      <c r="C49" s="921" t="s">
        <v>275</v>
      </c>
      <c r="D49" s="921"/>
      <c r="E49" s="921"/>
      <c r="F49" s="921"/>
      <c r="G49" s="921"/>
      <c r="H49" s="921"/>
      <c r="I49" s="503">
        <v>7005</v>
      </c>
      <c r="J49" s="575"/>
    </row>
    <row r="50" spans="1:10" ht="20.25" customHeight="1" outlineLevel="1" x14ac:dyDescent="0.25">
      <c r="A50" s="997"/>
      <c r="B50" s="138" t="s">
        <v>251</v>
      </c>
      <c r="C50" s="921" t="s">
        <v>276</v>
      </c>
      <c r="D50" s="921"/>
      <c r="E50" s="921"/>
      <c r="F50" s="921"/>
      <c r="G50" s="921"/>
      <c r="H50" s="921"/>
      <c r="I50" s="503">
        <v>7005</v>
      </c>
      <c r="J50" s="575"/>
    </row>
    <row r="51" spans="1:10" ht="20.25" customHeight="1" outlineLevel="1" x14ac:dyDescent="0.25">
      <c r="A51" s="997"/>
      <c r="B51" s="138" t="s">
        <v>252</v>
      </c>
      <c r="C51" s="921" t="s">
        <v>276</v>
      </c>
      <c r="D51" s="921"/>
      <c r="E51" s="921"/>
      <c r="F51" s="921"/>
      <c r="G51" s="921"/>
      <c r="H51" s="921"/>
      <c r="I51" s="503">
        <v>7005</v>
      </c>
      <c r="J51" s="575"/>
    </row>
    <row r="52" spans="1:10" s="142" customFormat="1" ht="21.75" customHeight="1" x14ac:dyDescent="0.25">
      <c r="A52" s="979" t="s">
        <v>277</v>
      </c>
      <c r="B52" s="215">
        <v>6</v>
      </c>
      <c r="C52" s="842" t="s">
        <v>278</v>
      </c>
      <c r="D52" s="842"/>
      <c r="E52" s="842"/>
      <c r="F52" s="842"/>
      <c r="G52" s="842"/>
      <c r="H52" s="842"/>
      <c r="I52" s="503">
        <v>7006</v>
      </c>
      <c r="J52" s="573">
        <f>SUM(J54:J76)</f>
        <v>0</v>
      </c>
    </row>
    <row r="53" spans="1:10" s="140" customFormat="1" ht="26.4" x14ac:dyDescent="0.25">
      <c r="A53" s="979"/>
      <c r="B53" s="136"/>
      <c r="C53" s="501" t="s">
        <v>1</v>
      </c>
      <c r="D53" s="143" t="s">
        <v>279</v>
      </c>
      <c r="E53" s="989" t="s">
        <v>280</v>
      </c>
      <c r="F53" s="989"/>
      <c r="G53" s="989"/>
      <c r="H53" s="504" t="s">
        <v>247</v>
      </c>
      <c r="I53" s="498" t="s">
        <v>44</v>
      </c>
      <c r="J53" s="574" t="s">
        <v>248</v>
      </c>
    </row>
    <row r="54" spans="1:10" ht="20.25" customHeight="1" outlineLevel="1" x14ac:dyDescent="0.25">
      <c r="A54" s="979"/>
      <c r="B54" s="138" t="s">
        <v>249</v>
      </c>
      <c r="C54" s="500" t="s">
        <v>281</v>
      </c>
      <c r="D54" s="499"/>
      <c r="E54" s="976"/>
      <c r="F54" s="976"/>
      <c r="G54" s="976"/>
      <c r="H54" s="139"/>
      <c r="I54" s="503">
        <v>7006</v>
      </c>
      <c r="J54" s="575"/>
    </row>
    <row r="55" spans="1:10" ht="20.25" customHeight="1" outlineLevel="1" x14ac:dyDescent="0.25">
      <c r="A55" s="979"/>
      <c r="B55" s="138"/>
      <c r="C55" s="144" t="s">
        <v>282</v>
      </c>
      <c r="D55" s="139"/>
      <c r="E55" s="976"/>
      <c r="F55" s="976"/>
      <c r="G55" s="976"/>
      <c r="H55" s="139"/>
      <c r="I55" s="503">
        <v>7006</v>
      </c>
      <c r="J55" s="575"/>
    </row>
    <row r="56" spans="1:10" ht="20.25" customHeight="1" outlineLevel="1" x14ac:dyDescent="0.25">
      <c r="A56" s="979"/>
      <c r="B56" s="138"/>
      <c r="C56" s="144" t="s">
        <v>282</v>
      </c>
      <c r="D56" s="139"/>
      <c r="E56" s="976"/>
      <c r="F56" s="976"/>
      <c r="G56" s="976"/>
      <c r="H56" s="139"/>
      <c r="I56" s="503">
        <v>7006</v>
      </c>
      <c r="J56" s="575"/>
    </row>
    <row r="57" spans="1:10" ht="20.25" customHeight="1" outlineLevel="1" x14ac:dyDescent="0.25">
      <c r="A57" s="979"/>
      <c r="B57" s="138"/>
      <c r="C57" s="144" t="s">
        <v>283</v>
      </c>
      <c r="D57" s="139"/>
      <c r="E57" s="976"/>
      <c r="F57" s="976"/>
      <c r="G57" s="976"/>
      <c r="H57" s="139"/>
      <c r="I57" s="503">
        <v>7006</v>
      </c>
      <c r="J57" s="575"/>
    </row>
    <row r="58" spans="1:10" ht="20.25" customHeight="1" outlineLevel="1" x14ac:dyDescent="0.25">
      <c r="A58" s="979"/>
      <c r="B58" s="138"/>
      <c r="C58" s="144" t="s">
        <v>283</v>
      </c>
      <c r="D58" s="139"/>
      <c r="E58" s="976"/>
      <c r="F58" s="976"/>
      <c r="G58" s="976"/>
      <c r="H58" s="139"/>
      <c r="I58" s="503">
        <v>7006</v>
      </c>
      <c r="J58" s="575"/>
    </row>
    <row r="59" spans="1:10" ht="20.25" customHeight="1" outlineLevel="1" x14ac:dyDescent="0.25">
      <c r="A59" s="979"/>
      <c r="B59" s="138"/>
      <c r="C59" s="144" t="s">
        <v>284</v>
      </c>
      <c r="D59" s="139"/>
      <c r="E59" s="976"/>
      <c r="F59" s="976"/>
      <c r="G59" s="976"/>
      <c r="H59" s="139"/>
      <c r="I59" s="503">
        <v>7006</v>
      </c>
      <c r="J59" s="575"/>
    </row>
    <row r="60" spans="1:10" ht="20.25" customHeight="1" outlineLevel="1" x14ac:dyDescent="0.25">
      <c r="A60" s="979"/>
      <c r="B60" s="138"/>
      <c r="C60" s="144" t="s">
        <v>284</v>
      </c>
      <c r="D60" s="139"/>
      <c r="E60" s="976"/>
      <c r="F60" s="976"/>
      <c r="G60" s="976"/>
      <c r="H60" s="139"/>
      <c r="I60" s="503">
        <v>7006</v>
      </c>
      <c r="J60" s="575"/>
    </row>
    <row r="61" spans="1:10" ht="20.25" customHeight="1" outlineLevel="1" x14ac:dyDescent="0.25">
      <c r="A61" s="979"/>
      <c r="B61" s="138"/>
      <c r="C61" s="144" t="s">
        <v>285</v>
      </c>
      <c r="D61" s="139"/>
      <c r="E61" s="976"/>
      <c r="F61" s="976"/>
      <c r="G61" s="976"/>
      <c r="H61" s="139"/>
      <c r="I61" s="503">
        <v>7006</v>
      </c>
      <c r="J61" s="575"/>
    </row>
    <row r="62" spans="1:10" ht="20.25" customHeight="1" outlineLevel="1" x14ac:dyDescent="0.25">
      <c r="A62" s="979"/>
      <c r="B62" s="138"/>
      <c r="C62" s="144" t="s">
        <v>285</v>
      </c>
      <c r="D62" s="139"/>
      <c r="E62" s="976"/>
      <c r="F62" s="976"/>
      <c r="G62" s="976"/>
      <c r="H62" s="139"/>
      <c r="I62" s="503">
        <v>7006</v>
      </c>
      <c r="J62" s="575"/>
    </row>
    <row r="63" spans="1:10" ht="20.25" customHeight="1" outlineLevel="1" x14ac:dyDescent="0.25">
      <c r="A63" s="979"/>
      <c r="B63" s="138" t="s">
        <v>250</v>
      </c>
      <c r="C63" s="500" t="s">
        <v>286</v>
      </c>
      <c r="D63" s="499"/>
      <c r="E63" s="976"/>
      <c r="F63" s="976"/>
      <c r="G63" s="976"/>
      <c r="H63" s="139"/>
      <c r="I63" s="503">
        <v>7006</v>
      </c>
      <c r="J63" s="575"/>
    </row>
    <row r="64" spans="1:10" ht="20.25" customHeight="1" outlineLevel="1" x14ac:dyDescent="0.25">
      <c r="A64" s="979"/>
      <c r="B64" s="138" t="s">
        <v>251</v>
      </c>
      <c r="C64" s="500" t="s">
        <v>287</v>
      </c>
      <c r="D64" s="499"/>
      <c r="E64" s="976"/>
      <c r="F64" s="976"/>
      <c r="G64" s="976"/>
      <c r="H64" s="139"/>
      <c r="I64" s="503">
        <v>7006</v>
      </c>
      <c r="J64" s="575"/>
    </row>
    <row r="65" spans="1:10" ht="20.25" customHeight="1" outlineLevel="1" x14ac:dyDescent="0.25">
      <c r="A65" s="979"/>
      <c r="B65" s="138" t="s">
        <v>252</v>
      </c>
      <c r="C65" s="500" t="s">
        <v>288</v>
      </c>
      <c r="D65" s="499"/>
      <c r="E65" s="976"/>
      <c r="F65" s="976"/>
      <c r="G65" s="976"/>
      <c r="H65" s="139"/>
      <c r="I65" s="503">
        <v>7006</v>
      </c>
      <c r="J65" s="575"/>
    </row>
    <row r="66" spans="1:10" ht="20.25" customHeight="1" outlineLevel="1" x14ac:dyDescent="0.25">
      <c r="A66" s="979"/>
      <c r="B66" s="138" t="s">
        <v>253</v>
      </c>
      <c r="C66" s="500" t="s">
        <v>289</v>
      </c>
      <c r="D66" s="499"/>
      <c r="E66" s="976"/>
      <c r="F66" s="976"/>
      <c r="G66" s="976"/>
      <c r="H66" s="139"/>
      <c r="I66" s="503">
        <v>7006</v>
      </c>
      <c r="J66" s="575"/>
    </row>
    <row r="67" spans="1:10" ht="20.25" customHeight="1" outlineLevel="1" x14ac:dyDescent="0.25">
      <c r="A67" s="979"/>
      <c r="B67" s="138" t="s">
        <v>254</v>
      </c>
      <c r="C67" s="500" t="s">
        <v>290</v>
      </c>
      <c r="D67" s="499"/>
      <c r="E67" s="976"/>
      <c r="F67" s="976"/>
      <c r="G67" s="976"/>
      <c r="H67" s="139"/>
      <c r="I67" s="503">
        <v>7006</v>
      </c>
      <c r="J67" s="575"/>
    </row>
    <row r="68" spans="1:10" ht="20.25" customHeight="1" outlineLevel="1" x14ac:dyDescent="0.25">
      <c r="A68" s="979"/>
      <c r="B68" s="138"/>
      <c r="C68" s="144" t="s">
        <v>291</v>
      </c>
      <c r="D68" s="139"/>
      <c r="E68" s="976"/>
      <c r="F68" s="976"/>
      <c r="G68" s="976"/>
      <c r="H68" s="139"/>
      <c r="I68" s="503">
        <v>7006</v>
      </c>
      <c r="J68" s="575"/>
    </row>
    <row r="69" spans="1:10" ht="20.25" customHeight="1" x14ac:dyDescent="0.25">
      <c r="A69" s="979"/>
      <c r="B69" s="138"/>
      <c r="C69" s="144" t="s">
        <v>291</v>
      </c>
      <c r="D69" s="139"/>
      <c r="E69" s="976"/>
      <c r="F69" s="976"/>
      <c r="G69" s="976"/>
      <c r="H69" s="139"/>
      <c r="I69" s="503">
        <v>7006</v>
      </c>
      <c r="J69" s="575"/>
    </row>
    <row r="70" spans="1:10" ht="20.25" hidden="1" customHeight="1" outlineLevel="1" x14ac:dyDescent="0.25">
      <c r="A70" s="979"/>
      <c r="B70" s="138" t="s">
        <v>255</v>
      </c>
      <c r="C70" s="500" t="s">
        <v>292</v>
      </c>
      <c r="D70" s="499"/>
      <c r="E70" s="976"/>
      <c r="F70" s="976"/>
      <c r="G70" s="976"/>
      <c r="H70" s="139"/>
      <c r="I70" s="503">
        <v>7006</v>
      </c>
      <c r="J70" s="575"/>
    </row>
    <row r="71" spans="1:10" ht="20.25" hidden="1" customHeight="1" outlineLevel="1" x14ac:dyDescent="0.25">
      <c r="A71" s="979"/>
      <c r="B71" s="138" t="s">
        <v>256</v>
      </c>
      <c r="C71" s="500" t="s">
        <v>293</v>
      </c>
      <c r="D71" s="499"/>
      <c r="E71" s="976"/>
      <c r="F71" s="976"/>
      <c r="G71" s="976"/>
      <c r="H71" s="139"/>
      <c r="I71" s="503">
        <v>7006</v>
      </c>
      <c r="J71" s="575"/>
    </row>
    <row r="72" spans="1:10" ht="20.25" hidden="1" customHeight="1" outlineLevel="1" x14ac:dyDescent="0.25">
      <c r="A72" s="979"/>
      <c r="B72" s="138" t="s">
        <v>257</v>
      </c>
      <c r="C72" s="500" t="s">
        <v>294</v>
      </c>
      <c r="D72" s="499"/>
      <c r="E72" s="976"/>
      <c r="F72" s="976"/>
      <c r="G72" s="976"/>
      <c r="H72" s="139"/>
      <c r="I72" s="503">
        <v>7006</v>
      </c>
      <c r="J72" s="575"/>
    </row>
    <row r="73" spans="1:10" ht="20.25" hidden="1" customHeight="1" outlineLevel="1" x14ac:dyDescent="0.25">
      <c r="A73" s="979"/>
      <c r="B73" s="138" t="s">
        <v>258</v>
      </c>
      <c r="C73" s="500" t="s">
        <v>295</v>
      </c>
      <c r="D73" s="499"/>
      <c r="E73" s="976"/>
      <c r="F73" s="976"/>
      <c r="G73" s="976"/>
      <c r="H73" s="139"/>
      <c r="I73" s="503">
        <v>7006</v>
      </c>
      <c r="J73" s="575"/>
    </row>
    <row r="74" spans="1:10" ht="20.25" hidden="1" customHeight="1" outlineLevel="1" x14ac:dyDescent="0.25">
      <c r="A74" s="979"/>
      <c r="B74" s="138" t="s">
        <v>296</v>
      </c>
      <c r="C74" s="500" t="s">
        <v>297</v>
      </c>
      <c r="D74" s="499"/>
      <c r="E74" s="976"/>
      <c r="F74" s="976"/>
      <c r="G74" s="976"/>
      <c r="H74" s="139"/>
      <c r="I74" s="503">
        <v>7006</v>
      </c>
      <c r="J74" s="575"/>
    </row>
    <row r="75" spans="1:10" ht="20.25" customHeight="1" collapsed="1" x14ac:dyDescent="0.25">
      <c r="A75" s="979"/>
      <c r="B75" s="138" t="s">
        <v>298</v>
      </c>
      <c r="C75" s="500" t="s">
        <v>299</v>
      </c>
      <c r="D75" s="499"/>
      <c r="E75" s="976"/>
      <c r="F75" s="976"/>
      <c r="G75" s="976"/>
      <c r="H75" s="139"/>
      <c r="I75" s="503">
        <v>7006</v>
      </c>
      <c r="J75" s="575"/>
    </row>
    <row r="76" spans="1:10" ht="20.25" customHeight="1" x14ac:dyDescent="0.25">
      <c r="A76" s="979"/>
      <c r="B76" s="138" t="s">
        <v>300</v>
      </c>
      <c r="C76" s="500" t="s">
        <v>301</v>
      </c>
      <c r="D76" s="499"/>
      <c r="E76" s="976"/>
      <c r="F76" s="976"/>
      <c r="G76" s="976"/>
      <c r="H76" s="139"/>
      <c r="I76" s="503">
        <v>7006</v>
      </c>
      <c r="J76" s="575"/>
    </row>
    <row r="77" spans="1:10" s="137" customFormat="1" ht="21.75" hidden="1" customHeight="1" outlineLevel="1" x14ac:dyDescent="0.25">
      <c r="A77" s="979"/>
      <c r="B77" s="215">
        <v>7</v>
      </c>
      <c r="C77" s="986" t="s">
        <v>302</v>
      </c>
      <c r="D77" s="986"/>
      <c r="E77" s="986"/>
      <c r="F77" s="986"/>
      <c r="G77" s="986"/>
      <c r="H77" s="986"/>
      <c r="I77" s="503">
        <v>7007</v>
      </c>
      <c r="J77" s="573">
        <f>SUM(J79:J85)</f>
        <v>0</v>
      </c>
    </row>
    <row r="78" spans="1:10" ht="21.9" hidden="1" customHeight="1" outlineLevel="1" x14ac:dyDescent="0.25">
      <c r="A78" s="979"/>
      <c r="B78" s="136"/>
      <c r="C78" s="501" t="s">
        <v>1</v>
      </c>
      <c r="D78" s="990" t="s">
        <v>303</v>
      </c>
      <c r="E78" s="990"/>
      <c r="F78" s="989" t="s">
        <v>280</v>
      </c>
      <c r="G78" s="989"/>
      <c r="H78" s="504" t="s">
        <v>247</v>
      </c>
      <c r="I78" s="498" t="s">
        <v>44</v>
      </c>
      <c r="J78" s="574" t="s">
        <v>248</v>
      </c>
    </row>
    <row r="79" spans="1:10" ht="20.25" hidden="1" customHeight="1" outlineLevel="1" x14ac:dyDescent="0.25">
      <c r="A79" s="979"/>
      <c r="B79" s="138" t="s">
        <v>249</v>
      </c>
      <c r="C79" s="500" t="s">
        <v>304</v>
      </c>
      <c r="D79" s="976"/>
      <c r="E79" s="976"/>
      <c r="F79" s="976"/>
      <c r="G79" s="976"/>
      <c r="H79" s="139"/>
      <c r="I79" s="503">
        <v>7007</v>
      </c>
      <c r="J79" s="575"/>
    </row>
    <row r="80" spans="1:10" ht="20.25" hidden="1" customHeight="1" outlineLevel="1" x14ac:dyDescent="0.25">
      <c r="A80" s="979"/>
      <c r="B80" s="138" t="s">
        <v>250</v>
      </c>
      <c r="C80" s="500" t="s">
        <v>305</v>
      </c>
      <c r="D80" s="976"/>
      <c r="E80" s="976"/>
      <c r="F80" s="976"/>
      <c r="G80" s="976"/>
      <c r="H80" s="139"/>
      <c r="I80" s="503">
        <v>7007</v>
      </c>
      <c r="J80" s="575"/>
    </row>
    <row r="81" spans="1:10" ht="20.25" hidden="1" customHeight="1" outlineLevel="1" x14ac:dyDescent="0.25">
      <c r="A81" s="979"/>
      <c r="B81" s="138" t="s">
        <v>251</v>
      </c>
      <c r="C81" s="500" t="s">
        <v>290</v>
      </c>
      <c r="D81" s="976"/>
      <c r="E81" s="976"/>
      <c r="F81" s="976"/>
      <c r="G81" s="976"/>
      <c r="H81" s="139"/>
      <c r="I81" s="503">
        <v>7007</v>
      </c>
      <c r="J81" s="575"/>
    </row>
    <row r="82" spans="1:10" ht="20.25" hidden="1" customHeight="1" outlineLevel="1" x14ac:dyDescent="0.25">
      <c r="A82" s="979"/>
      <c r="B82" s="138" t="s">
        <v>252</v>
      </c>
      <c r="C82" s="500" t="s">
        <v>306</v>
      </c>
      <c r="D82" s="976"/>
      <c r="E82" s="976"/>
      <c r="F82" s="976"/>
      <c r="G82" s="976"/>
      <c r="H82" s="139"/>
      <c r="I82" s="503">
        <v>7007</v>
      </c>
      <c r="J82" s="575"/>
    </row>
    <row r="83" spans="1:10" ht="20.25" hidden="1" customHeight="1" outlineLevel="1" x14ac:dyDescent="0.25">
      <c r="A83" s="979"/>
      <c r="B83" s="138" t="s">
        <v>253</v>
      </c>
      <c r="C83" s="500" t="s">
        <v>307</v>
      </c>
      <c r="D83" s="976"/>
      <c r="E83" s="976"/>
      <c r="F83" s="976"/>
      <c r="G83" s="976"/>
      <c r="H83" s="139"/>
      <c r="I83" s="503">
        <v>7007</v>
      </c>
      <c r="J83" s="575"/>
    </row>
    <row r="84" spans="1:10" ht="20.25" hidden="1" customHeight="1" outlineLevel="1" x14ac:dyDescent="0.25">
      <c r="A84" s="979"/>
      <c r="B84" s="138" t="s">
        <v>254</v>
      </c>
      <c r="C84" s="500" t="s">
        <v>295</v>
      </c>
      <c r="D84" s="976"/>
      <c r="E84" s="976"/>
      <c r="F84" s="976"/>
      <c r="G84" s="976"/>
      <c r="H84" s="139"/>
      <c r="I84" s="503">
        <v>7007</v>
      </c>
      <c r="J84" s="575"/>
    </row>
    <row r="85" spans="1:10" ht="20.25" hidden="1" customHeight="1" outlineLevel="1" x14ac:dyDescent="0.25">
      <c r="A85" s="979"/>
      <c r="B85" s="138" t="s">
        <v>255</v>
      </c>
      <c r="C85" s="145" t="s">
        <v>301</v>
      </c>
      <c r="D85" s="976"/>
      <c r="E85" s="976"/>
      <c r="F85" s="976"/>
      <c r="G85" s="976"/>
      <c r="H85" s="139"/>
      <c r="I85" s="503">
        <v>7007</v>
      </c>
      <c r="J85" s="575"/>
    </row>
    <row r="86" spans="1:10" s="137" customFormat="1" ht="21.9" hidden="1" customHeight="1" outlineLevel="1" x14ac:dyDescent="0.25">
      <c r="A86" s="981" t="s">
        <v>308</v>
      </c>
      <c r="B86" s="215">
        <v>8</v>
      </c>
      <c r="C86" s="986" t="s">
        <v>565</v>
      </c>
      <c r="D86" s="986"/>
      <c r="E86" s="986"/>
      <c r="F86" s="986"/>
      <c r="G86" s="986"/>
      <c r="H86" s="986"/>
      <c r="I86" s="16">
        <v>7008</v>
      </c>
      <c r="J86" s="573">
        <f>SUM(J88:J92)</f>
        <v>0</v>
      </c>
    </row>
    <row r="87" spans="1:10" ht="38.25" hidden="1" customHeight="1" outlineLevel="1" x14ac:dyDescent="0.25">
      <c r="A87" s="981"/>
      <c r="B87" s="136"/>
      <c r="C87" s="501" t="s">
        <v>309</v>
      </c>
      <c r="D87" s="992" t="s">
        <v>310</v>
      </c>
      <c r="E87" s="992"/>
      <c r="F87" s="993" t="s">
        <v>311</v>
      </c>
      <c r="G87" s="993"/>
      <c r="H87" s="146" t="s">
        <v>312</v>
      </c>
      <c r="I87" s="498" t="s">
        <v>44</v>
      </c>
      <c r="J87" s="574" t="s">
        <v>248</v>
      </c>
    </row>
    <row r="88" spans="1:10" ht="20.25" hidden="1" customHeight="1" outlineLevel="1" x14ac:dyDescent="0.25">
      <c r="A88" s="981"/>
      <c r="B88" s="138" t="s">
        <v>249</v>
      </c>
      <c r="C88" s="139"/>
      <c r="D88" s="976"/>
      <c r="E88" s="976"/>
      <c r="F88" s="976"/>
      <c r="G88" s="976"/>
      <c r="H88" s="139"/>
      <c r="I88" s="16">
        <v>7008</v>
      </c>
      <c r="J88" s="575"/>
    </row>
    <row r="89" spans="1:10" ht="20.25" hidden="1" customHeight="1" outlineLevel="1" x14ac:dyDescent="0.25">
      <c r="A89" s="981"/>
      <c r="B89" s="138" t="s">
        <v>250</v>
      </c>
      <c r="C89" s="139"/>
      <c r="D89" s="976"/>
      <c r="E89" s="976"/>
      <c r="F89" s="976"/>
      <c r="G89" s="976"/>
      <c r="H89" s="139"/>
      <c r="I89" s="16">
        <v>7008</v>
      </c>
      <c r="J89" s="575"/>
    </row>
    <row r="90" spans="1:10" ht="20.25" hidden="1" customHeight="1" outlineLevel="1" x14ac:dyDescent="0.25">
      <c r="A90" s="981"/>
      <c r="B90" s="138" t="s">
        <v>251</v>
      </c>
      <c r="C90" s="139"/>
      <c r="D90" s="976"/>
      <c r="E90" s="976"/>
      <c r="F90" s="976"/>
      <c r="G90" s="976"/>
      <c r="H90" s="139"/>
      <c r="I90" s="16">
        <v>7008</v>
      </c>
      <c r="J90" s="575"/>
    </row>
    <row r="91" spans="1:10" ht="20.25" hidden="1" customHeight="1" outlineLevel="1" x14ac:dyDescent="0.25">
      <c r="A91" s="981"/>
      <c r="B91" s="138" t="s">
        <v>252</v>
      </c>
      <c r="C91" s="139"/>
      <c r="D91" s="976"/>
      <c r="E91" s="976"/>
      <c r="F91" s="976"/>
      <c r="G91" s="976"/>
      <c r="H91" s="139"/>
      <c r="I91" s="16">
        <v>7008</v>
      </c>
      <c r="J91" s="575"/>
    </row>
    <row r="92" spans="1:10" ht="20.25" hidden="1" customHeight="1" outlineLevel="1" x14ac:dyDescent="0.25">
      <c r="A92" s="981"/>
      <c r="B92" s="138" t="s">
        <v>253</v>
      </c>
      <c r="C92" s="139"/>
      <c r="D92" s="976"/>
      <c r="E92" s="976"/>
      <c r="F92" s="976"/>
      <c r="G92" s="976"/>
      <c r="H92" s="139"/>
      <c r="I92" s="16">
        <v>7008</v>
      </c>
      <c r="J92" s="575"/>
    </row>
    <row r="93" spans="1:10" ht="21.9" customHeight="1" collapsed="1" thickBot="1" x14ac:dyDescent="0.3">
      <c r="A93" s="576" t="s">
        <v>270</v>
      </c>
      <c r="B93" s="577"/>
      <c r="C93" s="578"/>
      <c r="D93" s="579"/>
      <c r="E93" s="579"/>
      <c r="F93" s="579"/>
      <c r="G93" s="579"/>
      <c r="H93" s="579"/>
      <c r="I93" s="580" t="s">
        <v>71</v>
      </c>
      <c r="J93" s="582" t="str">
        <f>IF(J42="","",J42)</f>
        <v/>
      </c>
    </row>
    <row r="94" spans="1:10" ht="21.9" customHeight="1" x14ac:dyDescent="0.25">
      <c r="A94" s="994" t="s">
        <v>236</v>
      </c>
      <c r="B94" s="995"/>
      <c r="C94" s="995"/>
      <c r="D94" s="995"/>
      <c r="E94" s="995"/>
      <c r="F94" s="995"/>
      <c r="G94" s="995"/>
      <c r="H94" s="995"/>
      <c r="I94" s="995"/>
      <c r="J94" s="568" t="s">
        <v>313</v>
      </c>
    </row>
    <row r="95" spans="1:10" s="105" customFormat="1" ht="21.9" customHeight="1" x14ac:dyDescent="0.25">
      <c r="A95" s="971" t="s">
        <v>37</v>
      </c>
      <c r="B95" s="901"/>
      <c r="C95" s="996" t="str">
        <f>IF(C2="","",C2)</f>
        <v>MUHAMMAD RAHIL IQBAL</v>
      </c>
      <c r="D95" s="996"/>
      <c r="E95" s="996"/>
      <c r="F95" s="996"/>
      <c r="G95" s="996"/>
      <c r="H95" s="996"/>
      <c r="I95" s="498" t="s">
        <v>38</v>
      </c>
      <c r="J95" s="574" t="str">
        <f>J2</f>
        <v>2024</v>
      </c>
    </row>
    <row r="96" spans="1:10" s="105" customFormat="1" ht="21.9" customHeight="1" x14ac:dyDescent="0.25">
      <c r="A96" s="971" t="s">
        <v>39</v>
      </c>
      <c r="B96" s="901"/>
      <c r="C96" s="996" t="str">
        <f>IF(C3="","",C3)</f>
        <v>-</v>
      </c>
      <c r="D96" s="996"/>
      <c r="E96" s="996"/>
      <c r="F96" s="996"/>
      <c r="G96" s="996"/>
      <c r="H96" s="996"/>
      <c r="I96" s="498" t="s">
        <v>40</v>
      </c>
      <c r="J96" s="581" t="str">
        <f>IF(J3="","",J3)</f>
        <v>-</v>
      </c>
    </row>
    <row r="97" spans="1:10" s="140" customFormat="1" ht="21.9" customHeight="1" outlineLevel="1" x14ac:dyDescent="0.25">
      <c r="A97" s="979" t="s">
        <v>314</v>
      </c>
      <c r="B97" s="215">
        <v>9</v>
      </c>
      <c r="C97" s="986" t="s">
        <v>315</v>
      </c>
      <c r="D97" s="986"/>
      <c r="E97" s="986"/>
      <c r="F97" s="986"/>
      <c r="G97" s="986"/>
      <c r="H97" s="986"/>
      <c r="I97" s="147">
        <v>7009</v>
      </c>
      <c r="J97" s="573">
        <f>SUM(J99:J101)</f>
        <v>0</v>
      </c>
    </row>
    <row r="98" spans="1:10" ht="21.9" customHeight="1" outlineLevel="1" x14ac:dyDescent="0.25">
      <c r="A98" s="979"/>
      <c r="B98" s="136"/>
      <c r="C98" s="989" t="s">
        <v>43</v>
      </c>
      <c r="D98" s="989"/>
      <c r="E98" s="989"/>
      <c r="F98" s="989"/>
      <c r="G98" s="989"/>
      <c r="H98" s="989"/>
      <c r="I98" s="498" t="s">
        <v>44</v>
      </c>
      <c r="J98" s="574" t="s">
        <v>248</v>
      </c>
    </row>
    <row r="99" spans="1:10" ht="21.9" customHeight="1" outlineLevel="1" x14ac:dyDescent="0.25">
      <c r="A99" s="979"/>
      <c r="B99" s="138" t="s">
        <v>249</v>
      </c>
      <c r="C99" s="921" t="s">
        <v>316</v>
      </c>
      <c r="D99" s="921"/>
      <c r="E99" s="921"/>
      <c r="F99" s="921"/>
      <c r="G99" s="921"/>
      <c r="H99" s="921"/>
      <c r="I99" s="147">
        <v>7009</v>
      </c>
      <c r="J99" s="575"/>
    </row>
    <row r="100" spans="1:10" ht="21.9" customHeight="1" outlineLevel="1" x14ac:dyDescent="0.25">
      <c r="A100" s="979"/>
      <c r="B100" s="138" t="s">
        <v>250</v>
      </c>
      <c r="C100" s="921" t="s">
        <v>317</v>
      </c>
      <c r="D100" s="921"/>
      <c r="E100" s="921"/>
      <c r="F100" s="921"/>
      <c r="G100" s="921"/>
      <c r="H100" s="921"/>
      <c r="I100" s="147">
        <v>7009</v>
      </c>
      <c r="J100" s="575"/>
    </row>
    <row r="101" spans="1:10" ht="21.9" customHeight="1" outlineLevel="1" x14ac:dyDescent="0.25">
      <c r="A101" s="979"/>
      <c r="B101" s="138" t="s">
        <v>251</v>
      </c>
      <c r="C101" s="921" t="s">
        <v>318</v>
      </c>
      <c r="D101" s="921"/>
      <c r="E101" s="921"/>
      <c r="F101" s="921"/>
      <c r="G101" s="921"/>
      <c r="H101" s="921"/>
      <c r="I101" s="147">
        <v>7009</v>
      </c>
      <c r="J101" s="575"/>
    </row>
    <row r="102" spans="1:10" s="140" customFormat="1" ht="21.9" customHeight="1" outlineLevel="1" x14ac:dyDescent="0.25">
      <c r="A102" s="985" t="s">
        <v>319</v>
      </c>
      <c r="B102" s="215">
        <v>10</v>
      </c>
      <c r="C102" s="988" t="s">
        <v>320</v>
      </c>
      <c r="D102" s="988"/>
      <c r="E102" s="988"/>
      <c r="F102" s="988"/>
      <c r="G102" s="988"/>
      <c r="H102" s="988"/>
      <c r="I102" s="147">
        <v>7010</v>
      </c>
      <c r="J102" s="573">
        <f>SUM(J104:J107)</f>
        <v>0</v>
      </c>
    </row>
    <row r="103" spans="1:10" ht="21.9" customHeight="1" outlineLevel="1" x14ac:dyDescent="0.25">
      <c r="A103" s="985"/>
      <c r="B103" s="136"/>
      <c r="C103" s="989" t="s">
        <v>43</v>
      </c>
      <c r="D103" s="989"/>
      <c r="E103" s="989"/>
      <c r="F103" s="989"/>
      <c r="G103" s="989"/>
      <c r="H103" s="989"/>
      <c r="I103" s="498" t="s">
        <v>44</v>
      </c>
      <c r="J103" s="574" t="s">
        <v>248</v>
      </c>
    </row>
    <row r="104" spans="1:10" ht="21.9" customHeight="1" outlineLevel="1" x14ac:dyDescent="0.25">
      <c r="A104" s="985"/>
      <c r="B104" s="138" t="s">
        <v>249</v>
      </c>
      <c r="C104" s="921" t="s">
        <v>276</v>
      </c>
      <c r="D104" s="921"/>
      <c r="E104" s="921"/>
      <c r="F104" s="921"/>
      <c r="G104" s="921"/>
      <c r="H104" s="921"/>
      <c r="I104" s="147">
        <v>7010</v>
      </c>
      <c r="J104" s="575"/>
    </row>
    <row r="105" spans="1:10" ht="21.9" customHeight="1" outlineLevel="1" x14ac:dyDescent="0.25">
      <c r="A105" s="985"/>
      <c r="B105" s="138" t="s">
        <v>250</v>
      </c>
      <c r="C105" s="921" t="s">
        <v>276</v>
      </c>
      <c r="D105" s="921"/>
      <c r="E105" s="921"/>
      <c r="F105" s="921"/>
      <c r="G105" s="921"/>
      <c r="H105" s="921"/>
      <c r="I105" s="147">
        <v>7010</v>
      </c>
      <c r="J105" s="575"/>
    </row>
    <row r="106" spans="1:10" ht="21.9" customHeight="1" outlineLevel="1" x14ac:dyDescent="0.25">
      <c r="A106" s="985"/>
      <c r="B106" s="138" t="s">
        <v>251</v>
      </c>
      <c r="C106" s="921" t="s">
        <v>276</v>
      </c>
      <c r="D106" s="921"/>
      <c r="E106" s="921"/>
      <c r="F106" s="921"/>
      <c r="G106" s="921"/>
      <c r="H106" s="921"/>
      <c r="I106" s="147">
        <v>7010</v>
      </c>
      <c r="J106" s="575"/>
    </row>
    <row r="107" spans="1:10" ht="21.9" customHeight="1" outlineLevel="1" x14ac:dyDescent="0.25">
      <c r="A107" s="985"/>
      <c r="B107" s="138" t="s">
        <v>252</v>
      </c>
      <c r="C107" s="921" t="s">
        <v>276</v>
      </c>
      <c r="D107" s="921"/>
      <c r="E107" s="921"/>
      <c r="F107" s="921"/>
      <c r="G107" s="921"/>
      <c r="H107" s="921"/>
      <c r="I107" s="147">
        <v>7010</v>
      </c>
      <c r="J107" s="575"/>
    </row>
    <row r="108" spans="1:10" s="140" customFormat="1" ht="21.9" customHeight="1" outlineLevel="1" x14ac:dyDescent="0.25">
      <c r="A108" s="985" t="s">
        <v>321</v>
      </c>
      <c r="B108" s="215">
        <v>11</v>
      </c>
      <c r="C108" s="986" t="s">
        <v>322</v>
      </c>
      <c r="D108" s="986"/>
      <c r="E108" s="986"/>
      <c r="F108" s="986"/>
      <c r="G108" s="986"/>
      <c r="H108" s="986"/>
      <c r="I108" s="147">
        <v>7011</v>
      </c>
      <c r="J108" s="573">
        <f>SUM(J110:J113)</f>
        <v>0</v>
      </c>
    </row>
    <row r="109" spans="1:10" ht="21.9" customHeight="1" outlineLevel="1" x14ac:dyDescent="0.25">
      <c r="A109" s="985"/>
      <c r="B109" s="136"/>
      <c r="C109" s="989" t="s">
        <v>43</v>
      </c>
      <c r="D109" s="989"/>
      <c r="E109" s="989"/>
      <c r="F109" s="989"/>
      <c r="G109" s="989"/>
      <c r="H109" s="989"/>
      <c r="I109" s="498" t="s">
        <v>44</v>
      </c>
      <c r="J109" s="574" t="s">
        <v>248</v>
      </c>
    </row>
    <row r="110" spans="1:10" ht="21.9" customHeight="1" outlineLevel="1" x14ac:dyDescent="0.25">
      <c r="A110" s="985"/>
      <c r="B110" s="138" t="s">
        <v>249</v>
      </c>
      <c r="C110" s="921" t="s">
        <v>276</v>
      </c>
      <c r="D110" s="921"/>
      <c r="E110" s="921"/>
      <c r="F110" s="921"/>
      <c r="G110" s="921"/>
      <c r="H110" s="921"/>
      <c r="I110" s="147">
        <v>7011</v>
      </c>
      <c r="J110" s="575"/>
    </row>
    <row r="111" spans="1:10" ht="21.9" customHeight="1" outlineLevel="1" x14ac:dyDescent="0.25">
      <c r="A111" s="985"/>
      <c r="B111" s="138" t="s">
        <v>250</v>
      </c>
      <c r="C111" s="921" t="s">
        <v>276</v>
      </c>
      <c r="D111" s="921"/>
      <c r="E111" s="921"/>
      <c r="F111" s="921"/>
      <c r="G111" s="921"/>
      <c r="H111" s="921"/>
      <c r="I111" s="147">
        <v>7011</v>
      </c>
      <c r="J111" s="575"/>
    </row>
    <row r="112" spans="1:10" ht="21.9" customHeight="1" outlineLevel="1" x14ac:dyDescent="0.25">
      <c r="A112" s="985"/>
      <c r="B112" s="138" t="s">
        <v>251</v>
      </c>
      <c r="C112" s="921" t="s">
        <v>276</v>
      </c>
      <c r="D112" s="921"/>
      <c r="E112" s="921"/>
      <c r="F112" s="921"/>
      <c r="G112" s="921"/>
      <c r="H112" s="921"/>
      <c r="I112" s="147">
        <v>7011</v>
      </c>
      <c r="J112" s="575"/>
    </row>
    <row r="113" spans="1:12" ht="21.9" customHeight="1" outlineLevel="1" x14ac:dyDescent="0.25">
      <c r="A113" s="985"/>
      <c r="B113" s="138" t="s">
        <v>252</v>
      </c>
      <c r="C113" s="921" t="s">
        <v>276</v>
      </c>
      <c r="D113" s="921"/>
      <c r="E113" s="921"/>
      <c r="F113" s="921"/>
      <c r="G113" s="921"/>
      <c r="H113" s="921"/>
      <c r="I113" s="147">
        <v>7011</v>
      </c>
      <c r="J113" s="575"/>
    </row>
    <row r="114" spans="1:12" ht="21.9" customHeight="1" x14ac:dyDescent="0.25">
      <c r="A114" s="985" t="s">
        <v>323</v>
      </c>
      <c r="B114" s="214">
        <v>12</v>
      </c>
      <c r="C114" s="986" t="s">
        <v>409</v>
      </c>
      <c r="D114" s="986"/>
      <c r="E114" s="986"/>
      <c r="F114" s="986"/>
      <c r="G114" s="986"/>
      <c r="H114" s="986"/>
      <c r="I114" s="147">
        <v>7012</v>
      </c>
      <c r="J114" s="573">
        <f>J115</f>
        <v>0</v>
      </c>
    </row>
    <row r="115" spans="1:12" s="140" customFormat="1" ht="21.9" customHeight="1" outlineLevel="1" x14ac:dyDescent="0.25">
      <c r="A115" s="985"/>
      <c r="B115" s="138"/>
      <c r="C115" s="826" t="s">
        <v>324</v>
      </c>
      <c r="D115" s="826"/>
      <c r="E115" s="826"/>
      <c r="F115" s="826"/>
      <c r="G115" s="826"/>
      <c r="H115" s="826"/>
      <c r="I115" s="147">
        <v>7012</v>
      </c>
      <c r="J115" s="575"/>
      <c r="L115" s="140" t="e">
        <f>+#REF!</f>
        <v>#REF!</v>
      </c>
    </row>
    <row r="116" spans="1:12" s="137" customFormat="1" ht="21.9" customHeight="1" outlineLevel="1" x14ac:dyDescent="0.25">
      <c r="A116" s="979" t="s">
        <v>325</v>
      </c>
      <c r="B116" s="214">
        <v>13</v>
      </c>
      <c r="C116" s="986" t="s">
        <v>410</v>
      </c>
      <c r="D116" s="986"/>
      <c r="E116" s="986"/>
      <c r="F116" s="986"/>
      <c r="G116" s="986"/>
      <c r="H116" s="986"/>
      <c r="I116" s="147">
        <v>7013</v>
      </c>
      <c r="J116" s="573">
        <f>SUM(J118:J121)</f>
        <v>0</v>
      </c>
      <c r="L116" s="137" t="e">
        <f>+L115-J115</f>
        <v>#REF!</v>
      </c>
    </row>
    <row r="117" spans="1:12" ht="21.9" customHeight="1" outlineLevel="1" x14ac:dyDescent="0.25">
      <c r="A117" s="979"/>
      <c r="B117" s="136"/>
      <c r="C117" s="991" t="s">
        <v>43</v>
      </c>
      <c r="D117" s="991"/>
      <c r="E117" s="991"/>
      <c r="F117" s="991"/>
      <c r="G117" s="991"/>
      <c r="H117" s="991"/>
      <c r="I117" s="498" t="s">
        <v>44</v>
      </c>
      <c r="J117" s="574" t="s">
        <v>248</v>
      </c>
    </row>
    <row r="118" spans="1:12" ht="21.9" customHeight="1" outlineLevel="1" x14ac:dyDescent="0.25">
      <c r="A118" s="979"/>
      <c r="B118" s="138" t="s">
        <v>249</v>
      </c>
      <c r="C118" s="987"/>
      <c r="D118" s="987"/>
      <c r="E118" s="987"/>
      <c r="F118" s="987"/>
      <c r="G118" s="987"/>
      <c r="H118" s="987"/>
      <c r="I118" s="147">
        <v>7013</v>
      </c>
      <c r="J118" s="575"/>
    </row>
    <row r="119" spans="1:12" ht="21.9" customHeight="1" outlineLevel="1" x14ac:dyDescent="0.25">
      <c r="A119" s="979"/>
      <c r="B119" s="138" t="s">
        <v>250</v>
      </c>
      <c r="C119" s="987"/>
      <c r="D119" s="987"/>
      <c r="E119" s="987"/>
      <c r="F119" s="987"/>
      <c r="G119" s="987"/>
      <c r="H119" s="987"/>
      <c r="I119" s="147">
        <v>7013</v>
      </c>
      <c r="J119" s="575"/>
    </row>
    <row r="120" spans="1:12" ht="21.9" customHeight="1" outlineLevel="1" x14ac:dyDescent="0.25">
      <c r="A120" s="979"/>
      <c r="B120" s="138" t="s">
        <v>251</v>
      </c>
      <c r="C120" s="987"/>
      <c r="D120" s="987"/>
      <c r="E120" s="987"/>
      <c r="F120" s="987"/>
      <c r="G120" s="987"/>
      <c r="H120" s="987"/>
      <c r="I120" s="147">
        <v>7013</v>
      </c>
      <c r="J120" s="575"/>
    </row>
    <row r="121" spans="1:12" ht="21.9" customHeight="1" outlineLevel="1" x14ac:dyDescent="0.25">
      <c r="A121" s="979"/>
      <c r="B121" s="138" t="s">
        <v>252</v>
      </c>
      <c r="C121" s="987"/>
      <c r="D121" s="987"/>
      <c r="E121" s="987"/>
      <c r="F121" s="987"/>
      <c r="G121" s="987"/>
      <c r="H121" s="987"/>
      <c r="I121" s="147">
        <v>7013</v>
      </c>
      <c r="J121" s="575"/>
    </row>
    <row r="122" spans="1:12" s="137" customFormat="1" ht="21.9" customHeight="1" outlineLevel="1" x14ac:dyDescent="0.25">
      <c r="A122" s="985" t="s">
        <v>326</v>
      </c>
      <c r="B122" s="214">
        <v>14</v>
      </c>
      <c r="C122" s="842" t="s">
        <v>327</v>
      </c>
      <c r="D122" s="842"/>
      <c r="E122" s="842"/>
      <c r="F122" s="842"/>
      <c r="G122" s="842"/>
      <c r="H122" s="842"/>
      <c r="I122" s="498">
        <v>7014</v>
      </c>
      <c r="J122" s="573">
        <f>SUM(J124:J127)</f>
        <v>0</v>
      </c>
    </row>
    <row r="123" spans="1:12" ht="21.9" customHeight="1" outlineLevel="1" x14ac:dyDescent="0.25">
      <c r="A123" s="985"/>
      <c r="B123" s="136"/>
      <c r="C123" s="991" t="s">
        <v>43</v>
      </c>
      <c r="D123" s="991"/>
      <c r="E123" s="991"/>
      <c r="F123" s="991"/>
      <c r="G123" s="991"/>
      <c r="H123" s="991"/>
      <c r="I123" s="498" t="s">
        <v>44</v>
      </c>
      <c r="J123" s="574" t="s">
        <v>248</v>
      </c>
    </row>
    <row r="124" spans="1:12" ht="21.9" customHeight="1" outlineLevel="1" x14ac:dyDescent="0.25">
      <c r="A124" s="985"/>
      <c r="B124" s="138" t="s">
        <v>249</v>
      </c>
      <c r="C124" s="987"/>
      <c r="D124" s="987"/>
      <c r="E124" s="987"/>
      <c r="F124" s="987"/>
      <c r="G124" s="987"/>
      <c r="H124" s="987"/>
      <c r="I124" s="498">
        <v>7014</v>
      </c>
      <c r="J124" s="575"/>
    </row>
    <row r="125" spans="1:12" ht="21.9" customHeight="1" outlineLevel="1" x14ac:dyDescent="0.25">
      <c r="A125" s="985"/>
      <c r="B125" s="138" t="s">
        <v>250</v>
      </c>
      <c r="C125" s="987"/>
      <c r="D125" s="987"/>
      <c r="E125" s="987"/>
      <c r="F125" s="987"/>
      <c r="G125" s="987"/>
      <c r="H125" s="987"/>
      <c r="I125" s="498">
        <v>7014</v>
      </c>
      <c r="J125" s="575"/>
    </row>
    <row r="126" spans="1:12" ht="21.9" customHeight="1" outlineLevel="1" x14ac:dyDescent="0.25">
      <c r="A126" s="985"/>
      <c r="B126" s="138" t="s">
        <v>251</v>
      </c>
      <c r="C126" s="987"/>
      <c r="D126" s="987"/>
      <c r="E126" s="987"/>
      <c r="F126" s="987"/>
      <c r="G126" s="987"/>
      <c r="H126" s="987"/>
      <c r="I126" s="498">
        <v>7014</v>
      </c>
      <c r="J126" s="575"/>
    </row>
    <row r="127" spans="1:12" ht="21.9" customHeight="1" x14ac:dyDescent="0.25">
      <c r="A127" s="985"/>
      <c r="B127" s="138" t="s">
        <v>252</v>
      </c>
      <c r="C127" s="987"/>
      <c r="D127" s="987"/>
      <c r="E127" s="987"/>
      <c r="F127" s="987"/>
      <c r="G127" s="987"/>
      <c r="H127" s="987"/>
      <c r="I127" s="498">
        <v>7014</v>
      </c>
      <c r="J127" s="575"/>
    </row>
    <row r="128" spans="1:12" s="137" customFormat="1" ht="21.9" customHeight="1" outlineLevel="1" x14ac:dyDescent="0.25">
      <c r="A128" s="583"/>
      <c r="B128" s="214">
        <v>15</v>
      </c>
      <c r="C128" s="842" t="s">
        <v>521</v>
      </c>
      <c r="D128" s="842"/>
      <c r="E128" s="842"/>
      <c r="F128" s="842"/>
      <c r="G128" s="842"/>
      <c r="H128" s="842"/>
      <c r="I128" s="498">
        <v>7015</v>
      </c>
      <c r="J128" s="573">
        <f>SUM(J6)+SUM(J18)+SUM(J30)+SUM(J36)+SUM(J46)+SUM(J52)+SUM(J77)+SUM(J86)+SUM(J97)+SUM(J102)+SUM(J108)+SUM(J114)+SUM(J116)+SUM(J122)</f>
        <v>0</v>
      </c>
    </row>
    <row r="129" spans="1:10" s="137" customFormat="1" ht="21.9" customHeight="1" outlineLevel="1" x14ac:dyDescent="0.25">
      <c r="A129" s="985" t="s">
        <v>522</v>
      </c>
      <c r="B129" s="214">
        <v>16</v>
      </c>
      <c r="C129" s="842" t="s">
        <v>523</v>
      </c>
      <c r="D129" s="842"/>
      <c r="E129" s="842"/>
      <c r="F129" s="842"/>
      <c r="G129" s="842"/>
      <c r="H129" s="842"/>
      <c r="I129" s="498">
        <v>7016</v>
      </c>
      <c r="J129" s="573"/>
    </row>
    <row r="130" spans="1:10" ht="21.9" customHeight="1" outlineLevel="1" x14ac:dyDescent="0.25">
      <c r="A130" s="985"/>
      <c r="B130" s="136"/>
      <c r="C130" s="991" t="s">
        <v>43</v>
      </c>
      <c r="D130" s="991"/>
      <c r="E130" s="991"/>
      <c r="F130" s="991"/>
      <c r="G130" s="991"/>
      <c r="H130" s="991"/>
      <c r="I130" s="498" t="s">
        <v>44</v>
      </c>
      <c r="J130" s="574" t="s">
        <v>248</v>
      </c>
    </row>
    <row r="131" spans="1:10" ht="21.9" customHeight="1" outlineLevel="1" x14ac:dyDescent="0.25">
      <c r="A131" s="985"/>
      <c r="B131" s="138" t="s">
        <v>249</v>
      </c>
      <c r="C131" s="987"/>
      <c r="D131" s="987"/>
      <c r="E131" s="987"/>
      <c r="F131" s="987"/>
      <c r="G131" s="987"/>
      <c r="H131" s="987"/>
      <c r="I131" s="498">
        <v>7016</v>
      </c>
      <c r="J131" s="575"/>
    </row>
    <row r="132" spans="1:10" ht="21.9" customHeight="1" outlineLevel="1" x14ac:dyDescent="0.25">
      <c r="A132" s="985"/>
      <c r="B132" s="138" t="s">
        <v>250</v>
      </c>
      <c r="C132" s="987"/>
      <c r="D132" s="987"/>
      <c r="E132" s="987"/>
      <c r="F132" s="987"/>
      <c r="G132" s="987"/>
      <c r="H132" s="987"/>
      <c r="I132" s="498">
        <v>7016</v>
      </c>
      <c r="J132" s="575"/>
    </row>
    <row r="133" spans="1:10" ht="21.9" customHeight="1" outlineLevel="1" x14ac:dyDescent="0.25">
      <c r="A133" s="985"/>
      <c r="B133" s="138" t="s">
        <v>251</v>
      </c>
      <c r="C133" s="987"/>
      <c r="D133" s="987"/>
      <c r="E133" s="987"/>
      <c r="F133" s="987"/>
      <c r="G133" s="987"/>
      <c r="H133" s="987"/>
      <c r="I133" s="498">
        <v>7016</v>
      </c>
      <c r="J133" s="575"/>
    </row>
    <row r="134" spans="1:10" ht="21.9" customHeight="1" x14ac:dyDescent="0.25">
      <c r="A134" s="985"/>
      <c r="B134" s="138" t="s">
        <v>252</v>
      </c>
      <c r="C134" s="987"/>
      <c r="D134" s="987"/>
      <c r="E134" s="987"/>
      <c r="F134" s="987"/>
      <c r="G134" s="987"/>
      <c r="H134" s="987"/>
      <c r="I134" s="498">
        <v>7016</v>
      </c>
      <c r="J134" s="575"/>
    </row>
    <row r="135" spans="1:10" ht="21.9" customHeight="1" x14ac:dyDescent="0.25">
      <c r="A135" s="584"/>
      <c r="B135" s="214">
        <v>17</v>
      </c>
      <c r="C135" s="842" t="s">
        <v>524</v>
      </c>
      <c r="D135" s="842"/>
      <c r="E135" s="842"/>
      <c r="F135" s="842"/>
      <c r="G135" s="842"/>
      <c r="H135" s="842"/>
      <c r="I135" s="498">
        <v>7019</v>
      </c>
      <c r="J135" s="573">
        <f>SUM(J128)+SUM(J129)</f>
        <v>0</v>
      </c>
    </row>
    <row r="136" spans="1:10" ht="21.9" customHeight="1" thickBot="1" x14ac:dyDescent="0.3">
      <c r="A136" s="576" t="s">
        <v>270</v>
      </c>
      <c r="B136" s="577"/>
      <c r="C136" s="578"/>
      <c r="D136" s="579"/>
      <c r="E136" s="579"/>
      <c r="F136" s="579"/>
      <c r="G136" s="579"/>
      <c r="H136" s="579"/>
      <c r="I136" s="580" t="s">
        <v>71</v>
      </c>
      <c r="J136" s="582" t="str">
        <f>IF(J42="","",J42)</f>
        <v/>
      </c>
    </row>
    <row r="137" spans="1:10" ht="20.100000000000001" customHeight="1" x14ac:dyDescent="0.25">
      <c r="A137" s="994" t="s">
        <v>236</v>
      </c>
      <c r="B137" s="995"/>
      <c r="C137" s="995"/>
      <c r="D137" s="995"/>
      <c r="E137" s="995"/>
      <c r="F137" s="995"/>
      <c r="G137" s="995"/>
      <c r="H137" s="995"/>
      <c r="I137" s="995"/>
      <c r="J137" s="568" t="s">
        <v>328</v>
      </c>
    </row>
    <row r="138" spans="1:10" s="105" customFormat="1" ht="20.100000000000001" customHeight="1" x14ac:dyDescent="0.25">
      <c r="A138" s="971" t="s">
        <v>37</v>
      </c>
      <c r="B138" s="901"/>
      <c r="C138" s="841" t="str">
        <f>IF(C2="","",C2)</f>
        <v>MUHAMMAD RAHIL IQBAL</v>
      </c>
      <c r="D138" s="841"/>
      <c r="E138" s="841"/>
      <c r="F138" s="841"/>
      <c r="G138" s="841"/>
      <c r="H138" s="841"/>
      <c r="I138" s="498" t="s">
        <v>38</v>
      </c>
      <c r="J138" s="574" t="str">
        <f>J2</f>
        <v>2024</v>
      </c>
    </row>
    <row r="139" spans="1:10" s="105" customFormat="1" ht="20.100000000000001" customHeight="1" x14ac:dyDescent="0.25">
      <c r="A139" s="971" t="s">
        <v>39</v>
      </c>
      <c r="B139" s="901"/>
      <c r="C139" s="972" t="str">
        <f>IF(C3="","",C3)</f>
        <v>-</v>
      </c>
      <c r="D139" s="972"/>
      <c r="E139" s="972"/>
      <c r="F139" s="972"/>
      <c r="G139" s="972"/>
      <c r="H139" s="972"/>
      <c r="I139" s="498" t="s">
        <v>40</v>
      </c>
      <c r="J139" s="581" t="str">
        <f>IF(J3="","",J3)</f>
        <v>-</v>
      </c>
    </row>
    <row r="140" spans="1:10" s="137" customFormat="1" ht="20.100000000000001" customHeight="1" outlineLevel="1" x14ac:dyDescent="0.25">
      <c r="A140" s="979" t="s">
        <v>329</v>
      </c>
      <c r="B140" s="214">
        <v>18</v>
      </c>
      <c r="C140" s="842" t="s">
        <v>602</v>
      </c>
      <c r="D140" s="842"/>
      <c r="E140" s="842"/>
      <c r="F140" s="842"/>
      <c r="G140" s="842"/>
      <c r="H140" s="842"/>
      <c r="I140" s="498">
        <v>7021</v>
      </c>
      <c r="J140" s="573">
        <f>SUM(J142:J149)</f>
        <v>0</v>
      </c>
    </row>
    <row r="141" spans="1:10" ht="20.100000000000001" customHeight="1" outlineLevel="1" x14ac:dyDescent="0.25">
      <c r="A141" s="980"/>
      <c r="B141" s="136"/>
      <c r="C141" s="501" t="s">
        <v>1</v>
      </c>
      <c r="D141" s="990" t="s">
        <v>330</v>
      </c>
      <c r="E141" s="990"/>
      <c r="F141" s="990" t="s">
        <v>331</v>
      </c>
      <c r="G141" s="990"/>
      <c r="H141" s="990"/>
      <c r="I141" s="498" t="s">
        <v>44</v>
      </c>
      <c r="J141" s="574" t="s">
        <v>248</v>
      </c>
    </row>
    <row r="142" spans="1:10" ht="20.100000000000001" customHeight="1" outlineLevel="1" x14ac:dyDescent="0.25">
      <c r="A142" s="980"/>
      <c r="B142" s="138" t="s">
        <v>249</v>
      </c>
      <c r="C142" s="500" t="s">
        <v>304</v>
      </c>
      <c r="D142" s="976"/>
      <c r="E142" s="976"/>
      <c r="F142" s="976"/>
      <c r="G142" s="976"/>
      <c r="H142" s="976"/>
      <c r="I142" s="23">
        <v>7021</v>
      </c>
      <c r="J142" s="575"/>
    </row>
    <row r="143" spans="1:10" ht="20.100000000000001" customHeight="1" outlineLevel="1" x14ac:dyDescent="0.25">
      <c r="A143" s="980"/>
      <c r="B143" s="138" t="s">
        <v>250</v>
      </c>
      <c r="C143" s="500" t="s">
        <v>332</v>
      </c>
      <c r="D143" s="976"/>
      <c r="E143" s="976"/>
      <c r="F143" s="976"/>
      <c r="G143" s="976"/>
      <c r="H143" s="976"/>
      <c r="I143" s="23">
        <v>7021</v>
      </c>
      <c r="J143" s="575"/>
    </row>
    <row r="144" spans="1:10" ht="20.100000000000001" customHeight="1" outlineLevel="1" x14ac:dyDescent="0.25">
      <c r="A144" s="980"/>
      <c r="B144" s="138" t="s">
        <v>251</v>
      </c>
      <c r="C144" s="500" t="s">
        <v>333</v>
      </c>
      <c r="D144" s="976"/>
      <c r="E144" s="976"/>
      <c r="F144" s="976"/>
      <c r="G144" s="976"/>
      <c r="H144" s="976"/>
      <c r="I144" s="23">
        <v>7021</v>
      </c>
      <c r="J144" s="575"/>
    </row>
    <row r="145" spans="1:12" ht="20.100000000000001" customHeight="1" outlineLevel="1" x14ac:dyDescent="0.25">
      <c r="A145" s="980"/>
      <c r="B145" s="138" t="s">
        <v>252</v>
      </c>
      <c r="C145" s="500" t="s">
        <v>329</v>
      </c>
      <c r="D145" s="976"/>
      <c r="E145" s="976"/>
      <c r="F145" s="976"/>
      <c r="G145" s="976"/>
      <c r="H145" s="976"/>
      <c r="I145" s="23">
        <v>7021</v>
      </c>
      <c r="J145" s="575"/>
    </row>
    <row r="146" spans="1:12" ht="20.100000000000001" customHeight="1" outlineLevel="1" x14ac:dyDescent="0.25">
      <c r="A146" s="980"/>
      <c r="B146" s="138" t="s">
        <v>253</v>
      </c>
      <c r="C146" s="500" t="s">
        <v>334</v>
      </c>
      <c r="D146" s="976"/>
      <c r="E146" s="976"/>
      <c r="F146" s="976"/>
      <c r="G146" s="976"/>
      <c r="H146" s="976"/>
      <c r="I146" s="23">
        <v>7021</v>
      </c>
      <c r="J146" s="575"/>
    </row>
    <row r="147" spans="1:12" ht="20.100000000000001" customHeight="1" outlineLevel="1" x14ac:dyDescent="0.25">
      <c r="A147" s="980"/>
      <c r="B147" s="138" t="s">
        <v>254</v>
      </c>
      <c r="C147" s="500" t="s">
        <v>335</v>
      </c>
      <c r="D147" s="976"/>
      <c r="E147" s="976"/>
      <c r="F147" s="976"/>
      <c r="G147" s="976"/>
      <c r="H147" s="976"/>
      <c r="I147" s="23">
        <v>7021</v>
      </c>
      <c r="J147" s="575"/>
    </row>
    <row r="148" spans="1:12" ht="20.100000000000001" customHeight="1" x14ac:dyDescent="0.25">
      <c r="A148" s="980"/>
      <c r="B148" s="138" t="s">
        <v>255</v>
      </c>
      <c r="C148" s="500" t="s">
        <v>336</v>
      </c>
      <c r="D148" s="976"/>
      <c r="E148" s="976"/>
      <c r="F148" s="976"/>
      <c r="G148" s="976"/>
      <c r="H148" s="976"/>
      <c r="I148" s="23">
        <v>7021</v>
      </c>
      <c r="J148" s="575"/>
      <c r="K148" s="142"/>
      <c r="L148" s="142"/>
    </row>
    <row r="149" spans="1:12" ht="20.100000000000001" customHeight="1" x14ac:dyDescent="0.25">
      <c r="A149" s="980"/>
      <c r="B149" s="138" t="s">
        <v>256</v>
      </c>
      <c r="C149" s="500" t="s">
        <v>301</v>
      </c>
      <c r="D149" s="976"/>
      <c r="E149" s="976"/>
      <c r="F149" s="976"/>
      <c r="G149" s="976"/>
      <c r="H149" s="976"/>
      <c r="I149" s="23">
        <v>7021</v>
      </c>
      <c r="J149" s="575"/>
      <c r="K149" s="142"/>
      <c r="L149" s="142"/>
    </row>
    <row r="150" spans="1:12" ht="20.100000000000001" customHeight="1" x14ac:dyDescent="0.25">
      <c r="A150" s="981"/>
      <c r="B150" s="214">
        <v>19</v>
      </c>
      <c r="C150" s="842" t="s">
        <v>566</v>
      </c>
      <c r="D150" s="842"/>
      <c r="E150" s="842"/>
      <c r="F150" s="842"/>
      <c r="G150" s="842"/>
      <c r="H150" s="842"/>
      <c r="I150" s="498">
        <v>7029</v>
      </c>
      <c r="J150" s="573">
        <f>J140</f>
        <v>0</v>
      </c>
      <c r="K150" s="142"/>
      <c r="L150" s="142"/>
    </row>
    <row r="151" spans="1:12" ht="20.100000000000001" customHeight="1" x14ac:dyDescent="0.25">
      <c r="A151" s="979" t="s">
        <v>337</v>
      </c>
      <c r="B151" s="214">
        <v>20</v>
      </c>
      <c r="C151" s="866" t="s">
        <v>567</v>
      </c>
      <c r="D151" s="866"/>
      <c r="E151" s="866"/>
      <c r="F151" s="866"/>
      <c r="G151" s="866"/>
      <c r="H151" s="866"/>
      <c r="I151" s="23">
        <v>703001</v>
      </c>
      <c r="J151" s="573">
        <f>SUM(J135)-SUM(J140)</f>
        <v>0</v>
      </c>
      <c r="K151" s="142"/>
      <c r="L151" s="142" t="e">
        <f>+#REF!</f>
        <v>#REF!</v>
      </c>
    </row>
    <row r="152" spans="1:12" ht="20.100000000000001" customHeight="1" x14ac:dyDescent="0.25">
      <c r="A152" s="980"/>
      <c r="B152" s="214">
        <v>21</v>
      </c>
      <c r="C152" s="866" t="s">
        <v>393</v>
      </c>
      <c r="D152" s="866"/>
      <c r="E152" s="866"/>
      <c r="F152" s="866"/>
      <c r="G152" s="866"/>
      <c r="H152" s="866"/>
      <c r="I152" s="23">
        <v>703002</v>
      </c>
      <c r="J152" s="575"/>
      <c r="K152" s="142"/>
      <c r="L152" s="142" t="e">
        <f>+J151-L151</f>
        <v>#REF!</v>
      </c>
    </row>
    <row r="153" spans="1:12" ht="20.100000000000001" customHeight="1" x14ac:dyDescent="0.25">
      <c r="A153" s="980"/>
      <c r="B153" s="214">
        <v>22</v>
      </c>
      <c r="C153" s="842" t="s">
        <v>568</v>
      </c>
      <c r="D153" s="842"/>
      <c r="E153" s="842"/>
      <c r="F153" s="842"/>
      <c r="G153" s="842"/>
      <c r="H153" s="842"/>
      <c r="I153" s="23">
        <v>703003</v>
      </c>
      <c r="J153" s="573">
        <f>SUM(J151)-SUM(J152)</f>
        <v>0</v>
      </c>
      <c r="K153" s="142"/>
      <c r="L153" s="142"/>
    </row>
    <row r="154" spans="1:12" ht="20.100000000000001" customHeight="1" x14ac:dyDescent="0.25">
      <c r="A154" s="980"/>
      <c r="B154" s="214">
        <v>23</v>
      </c>
      <c r="C154" s="842" t="s">
        <v>569</v>
      </c>
      <c r="D154" s="842"/>
      <c r="E154" s="842"/>
      <c r="F154" s="842"/>
      <c r="G154" s="842"/>
      <c r="H154" s="842"/>
      <c r="I154" s="498">
        <v>7049</v>
      </c>
      <c r="J154" s="573">
        <f>SUM(J155:J163)</f>
        <v>0</v>
      </c>
      <c r="K154" s="142"/>
      <c r="L154" s="142"/>
    </row>
    <row r="155" spans="1:12" ht="20.100000000000001" customHeight="1" x14ac:dyDescent="0.25">
      <c r="A155" s="980"/>
      <c r="B155" s="138" t="s">
        <v>249</v>
      </c>
      <c r="C155" s="977" t="s">
        <v>406</v>
      </c>
      <c r="D155" s="977"/>
      <c r="E155" s="977"/>
      <c r="F155" s="977"/>
      <c r="G155" s="977"/>
      <c r="H155" s="977"/>
      <c r="I155" s="23">
        <v>7031</v>
      </c>
      <c r="J155" s="575"/>
      <c r="K155" s="142"/>
      <c r="L155" s="142"/>
    </row>
    <row r="156" spans="1:12" ht="20.100000000000001" customHeight="1" x14ac:dyDescent="0.25">
      <c r="A156" s="980"/>
      <c r="B156" s="138" t="s">
        <v>250</v>
      </c>
      <c r="C156" s="977" t="s">
        <v>407</v>
      </c>
      <c r="D156" s="977"/>
      <c r="E156" s="977"/>
      <c r="F156" s="977"/>
      <c r="G156" s="977"/>
      <c r="H156" s="977"/>
      <c r="I156" s="23">
        <v>7032</v>
      </c>
      <c r="J156" s="575"/>
      <c r="K156" s="142"/>
      <c r="L156" s="142"/>
    </row>
    <row r="157" spans="1:12" ht="20.100000000000001" customHeight="1" x14ac:dyDescent="0.25">
      <c r="A157" s="980"/>
      <c r="B157" s="138" t="s">
        <v>251</v>
      </c>
      <c r="C157" s="977" t="s">
        <v>392</v>
      </c>
      <c r="D157" s="977"/>
      <c r="E157" s="977"/>
      <c r="F157" s="977"/>
      <c r="G157" s="977"/>
      <c r="H157" s="977"/>
      <c r="I157" s="23">
        <v>7033</v>
      </c>
      <c r="J157" s="575"/>
      <c r="K157" s="142"/>
      <c r="L157" s="142"/>
    </row>
    <row r="158" spans="1:12" ht="20.100000000000001" customHeight="1" x14ac:dyDescent="0.25">
      <c r="A158" s="980"/>
      <c r="B158" s="138" t="s">
        <v>252</v>
      </c>
      <c r="C158" s="978" t="s">
        <v>391</v>
      </c>
      <c r="D158" s="978"/>
      <c r="E158" s="978"/>
      <c r="F158" s="978"/>
      <c r="G158" s="978"/>
      <c r="H158" s="978"/>
      <c r="I158" s="23">
        <v>7034</v>
      </c>
      <c r="J158" s="575"/>
      <c r="K158" s="142"/>
      <c r="L158" s="142"/>
    </row>
    <row r="159" spans="1:12" ht="20.100000000000001" customHeight="1" x14ac:dyDescent="0.25">
      <c r="A159" s="980"/>
      <c r="B159" s="138" t="s">
        <v>254</v>
      </c>
      <c r="C159" s="975" t="s">
        <v>338</v>
      </c>
      <c r="D159" s="975"/>
      <c r="E159" s="975"/>
      <c r="F159" s="975"/>
      <c r="G159" s="975"/>
      <c r="H159" s="975"/>
      <c r="I159" s="23">
        <v>7035</v>
      </c>
      <c r="J159" s="575"/>
      <c r="K159" s="142"/>
      <c r="L159" s="142"/>
    </row>
    <row r="160" spans="1:12" ht="20.100000000000001" customHeight="1" x14ac:dyDescent="0.25">
      <c r="A160" s="980"/>
      <c r="B160" s="138" t="s">
        <v>255</v>
      </c>
      <c r="C160" s="975" t="s">
        <v>339</v>
      </c>
      <c r="D160" s="975"/>
      <c r="E160" s="975"/>
      <c r="F160" s="975"/>
      <c r="G160" s="975"/>
      <c r="H160" s="975"/>
      <c r="I160" s="23">
        <v>7036</v>
      </c>
      <c r="J160" s="575"/>
      <c r="K160" s="142"/>
      <c r="L160" s="142"/>
    </row>
    <row r="161" spans="1:12" ht="20.100000000000001" customHeight="1" x14ac:dyDescent="0.25">
      <c r="A161" s="980"/>
      <c r="B161" s="138" t="s">
        <v>256</v>
      </c>
      <c r="C161" s="975" t="s">
        <v>340</v>
      </c>
      <c r="D161" s="975"/>
      <c r="E161" s="975"/>
      <c r="F161" s="975"/>
      <c r="G161" s="975"/>
      <c r="H161" s="975"/>
      <c r="I161" s="23">
        <v>7037</v>
      </c>
      <c r="J161" s="575"/>
      <c r="K161" s="142"/>
      <c r="L161" s="142"/>
    </row>
    <row r="162" spans="1:12" ht="20.100000000000001" customHeight="1" x14ac:dyDescent="0.25">
      <c r="A162" s="980"/>
      <c r="B162" s="138" t="s">
        <v>257</v>
      </c>
      <c r="C162" s="975" t="s">
        <v>341</v>
      </c>
      <c r="D162" s="975"/>
      <c r="E162" s="975"/>
      <c r="F162" s="975"/>
      <c r="G162" s="975"/>
      <c r="H162" s="975"/>
      <c r="I162" s="23">
        <v>7038</v>
      </c>
      <c r="J162" s="575"/>
      <c r="K162" s="142"/>
      <c r="L162" s="142"/>
    </row>
    <row r="163" spans="1:12" ht="20.100000000000001" customHeight="1" x14ac:dyDescent="0.25">
      <c r="A163" s="980"/>
      <c r="B163" s="138" t="s">
        <v>258</v>
      </c>
      <c r="C163" s="975" t="s">
        <v>301</v>
      </c>
      <c r="D163" s="975"/>
      <c r="E163" s="975"/>
      <c r="F163" s="975"/>
      <c r="G163" s="975"/>
      <c r="H163" s="975"/>
      <c r="I163" s="23">
        <v>7048</v>
      </c>
      <c r="J163" s="575"/>
      <c r="K163" s="142"/>
      <c r="L163" s="142"/>
    </row>
    <row r="164" spans="1:12" ht="20.100000000000001" customHeight="1" x14ac:dyDescent="0.25">
      <c r="A164" s="980"/>
      <c r="B164" s="214">
        <v>24</v>
      </c>
      <c r="C164" s="984" t="s">
        <v>342</v>
      </c>
      <c r="D164" s="984"/>
      <c r="E164" s="984"/>
      <c r="F164" s="984"/>
      <c r="G164" s="984"/>
      <c r="H164" s="984"/>
      <c r="I164" s="498">
        <v>7089</v>
      </c>
      <c r="J164" s="573">
        <f>'Annex-F'!F6</f>
        <v>0</v>
      </c>
      <c r="K164" s="142"/>
      <c r="L164" s="142"/>
    </row>
    <row r="165" spans="1:12" ht="20.100000000000001" customHeight="1" x14ac:dyDescent="0.25">
      <c r="A165" s="980"/>
      <c r="B165" s="214">
        <v>25</v>
      </c>
      <c r="C165" s="842" t="s">
        <v>570</v>
      </c>
      <c r="D165" s="842"/>
      <c r="E165" s="842"/>
      <c r="F165" s="842"/>
      <c r="G165" s="842"/>
      <c r="H165" s="842"/>
      <c r="I165" s="498">
        <v>7099</v>
      </c>
      <c r="J165" s="573">
        <f>SUM(J166:J168)</f>
        <v>0</v>
      </c>
      <c r="K165" s="142"/>
      <c r="L165" s="142"/>
    </row>
    <row r="166" spans="1:12" ht="20.100000000000001" customHeight="1" x14ac:dyDescent="0.25">
      <c r="A166" s="980"/>
      <c r="B166" s="148" t="s">
        <v>249</v>
      </c>
      <c r="C166" s="975" t="s">
        <v>340</v>
      </c>
      <c r="D166" s="975"/>
      <c r="E166" s="975"/>
      <c r="F166" s="975"/>
      <c r="G166" s="975"/>
      <c r="H166" s="975"/>
      <c r="I166" s="498">
        <v>7091</v>
      </c>
      <c r="J166" s="573"/>
      <c r="K166" s="142"/>
      <c r="L166" s="142"/>
    </row>
    <row r="167" spans="1:12" ht="20.100000000000001" customHeight="1" x14ac:dyDescent="0.25">
      <c r="A167" s="980"/>
      <c r="B167" s="148" t="s">
        <v>250</v>
      </c>
      <c r="C167" s="975" t="s">
        <v>343</v>
      </c>
      <c r="D167" s="975"/>
      <c r="E167" s="975"/>
      <c r="F167" s="975"/>
      <c r="G167" s="975"/>
      <c r="H167" s="975"/>
      <c r="I167" s="498">
        <v>7092</v>
      </c>
      <c r="J167" s="573"/>
      <c r="K167" s="142"/>
      <c r="L167" s="142"/>
    </row>
    <row r="168" spans="1:12" ht="20.100000000000001" customHeight="1" x14ac:dyDescent="0.25">
      <c r="A168" s="980"/>
      <c r="B168" s="148" t="s">
        <v>251</v>
      </c>
      <c r="C168" s="975" t="s">
        <v>301</v>
      </c>
      <c r="D168" s="975"/>
      <c r="E168" s="975"/>
      <c r="F168" s="975"/>
      <c r="G168" s="975"/>
      <c r="H168" s="975"/>
      <c r="I168" s="498">
        <v>7098</v>
      </c>
      <c r="J168" s="573"/>
    </row>
    <row r="169" spans="1:12" s="137" customFormat="1" ht="20.100000000000001" customHeight="1" outlineLevel="1" x14ac:dyDescent="0.25">
      <c r="A169" s="981"/>
      <c r="B169" s="214">
        <v>26</v>
      </c>
      <c r="C169" s="984" t="s">
        <v>571</v>
      </c>
      <c r="D169" s="984"/>
      <c r="E169" s="984"/>
      <c r="F169" s="984"/>
      <c r="G169" s="984"/>
      <c r="H169" s="984"/>
      <c r="I169" s="498">
        <v>703000</v>
      </c>
      <c r="J169" s="573">
        <f>SUM(J154)-SUM(J153)-SUM(J164)-SUM(J165)</f>
        <v>0</v>
      </c>
    </row>
    <row r="170" spans="1:12" ht="20.100000000000001" customHeight="1" outlineLevel="1" x14ac:dyDescent="0.25">
      <c r="A170" s="1010" t="s">
        <v>344</v>
      </c>
      <c r="B170" s="214">
        <v>27</v>
      </c>
      <c r="C170" s="842" t="s">
        <v>572</v>
      </c>
      <c r="D170" s="842"/>
      <c r="E170" s="842"/>
      <c r="F170" s="842"/>
      <c r="G170" s="842"/>
      <c r="H170" s="842"/>
      <c r="I170" s="498">
        <v>703004</v>
      </c>
      <c r="J170" s="573">
        <f>SUM(J172:J173)</f>
        <v>0</v>
      </c>
    </row>
    <row r="171" spans="1:12" ht="20.100000000000001" customHeight="1" outlineLevel="1" x14ac:dyDescent="0.25">
      <c r="A171" s="1011"/>
      <c r="B171" s="136"/>
      <c r="C171" s="991" t="s">
        <v>43</v>
      </c>
      <c r="D171" s="991"/>
      <c r="E171" s="991"/>
      <c r="F171" s="991"/>
      <c r="G171" s="991"/>
      <c r="H171" s="991"/>
      <c r="I171" s="498" t="s">
        <v>44</v>
      </c>
      <c r="J171" s="574" t="s">
        <v>248</v>
      </c>
    </row>
    <row r="172" spans="1:12" ht="20.100000000000001" customHeight="1" outlineLevel="1" x14ac:dyDescent="0.25">
      <c r="A172" s="1011"/>
      <c r="B172" s="138" t="s">
        <v>249</v>
      </c>
      <c r="C172" s="1009"/>
      <c r="D172" s="1009"/>
      <c r="E172" s="1009"/>
      <c r="F172" s="1009"/>
      <c r="G172" s="1009"/>
      <c r="H172" s="1009"/>
      <c r="I172" s="498">
        <v>703004</v>
      </c>
      <c r="J172" s="575"/>
    </row>
    <row r="173" spans="1:12" s="25" customFormat="1" ht="18" customHeight="1" x14ac:dyDescent="0.25">
      <c r="A173" s="1012"/>
      <c r="B173" s="149" t="s">
        <v>250</v>
      </c>
      <c r="C173" s="983"/>
      <c r="D173" s="983"/>
      <c r="E173" s="983"/>
      <c r="F173" s="983"/>
      <c r="G173" s="983"/>
      <c r="H173" s="983"/>
      <c r="I173" s="498">
        <v>703004</v>
      </c>
      <c r="J173" s="585"/>
    </row>
    <row r="174" spans="1:12" ht="18" customHeight="1" x14ac:dyDescent="0.25">
      <c r="A174" s="979" t="s">
        <v>68</v>
      </c>
      <c r="B174" s="26" t="s">
        <v>69</v>
      </c>
      <c r="C174" s="982" t="str">
        <f>+C2</f>
        <v>MUHAMMAD RAHIL IQBAL</v>
      </c>
      <c r="D174" s="982"/>
      <c r="E174" s="982"/>
      <c r="F174" s="740" t="s">
        <v>79</v>
      </c>
      <c r="G174" s="807" t="str">
        <f>+C3</f>
        <v>-</v>
      </c>
      <c r="H174" s="807"/>
      <c r="I174" s="973" t="s">
        <v>80</v>
      </c>
      <c r="J174" s="974"/>
    </row>
    <row r="175" spans="1:12" ht="51.9" customHeight="1" x14ac:dyDescent="0.25">
      <c r="A175" s="981"/>
      <c r="B175" s="882" t="s">
        <v>739</v>
      </c>
      <c r="C175" s="882"/>
      <c r="D175" s="882"/>
      <c r="E175" s="882"/>
      <c r="F175" s="882"/>
      <c r="G175" s="882"/>
      <c r="H175" s="882"/>
      <c r="I175" s="882"/>
      <c r="J175" s="1008"/>
    </row>
    <row r="176" spans="1:12" ht="20.100000000000001" customHeight="1" thickBot="1" x14ac:dyDescent="0.3">
      <c r="A176" s="743" t="s">
        <v>270</v>
      </c>
      <c r="B176" s="742"/>
      <c r="C176" s="586"/>
      <c r="D176" s="587"/>
      <c r="E176" s="587"/>
      <c r="F176" s="587"/>
      <c r="G176" s="587"/>
      <c r="H176" s="587"/>
      <c r="I176" s="588" t="s">
        <v>71</v>
      </c>
      <c r="J176" s="582" t="str">
        <f>IF(J42="","",J42)</f>
        <v/>
      </c>
    </row>
  </sheetData>
  <sheetProtection selectLockedCells="1" selectUnlockedCells="1"/>
  <mergeCells count="213">
    <mergeCell ref="B175:J175"/>
    <mergeCell ref="C168:H168"/>
    <mergeCell ref="C169:H169"/>
    <mergeCell ref="C170:H170"/>
    <mergeCell ref="C171:H171"/>
    <mergeCell ref="C172:H172"/>
    <mergeCell ref="C153:H153"/>
    <mergeCell ref="A174:A175"/>
    <mergeCell ref="A170:A173"/>
    <mergeCell ref="A151:A169"/>
    <mergeCell ref="C151:H151"/>
    <mergeCell ref="C152:H152"/>
    <mergeCell ref="C154:H154"/>
    <mergeCell ref="C155:H155"/>
    <mergeCell ref="C156:H156"/>
    <mergeCell ref="A1:I1"/>
    <mergeCell ref="A2:B2"/>
    <mergeCell ref="C2:H2"/>
    <mergeCell ref="A3:B3"/>
    <mergeCell ref="C3:H3"/>
    <mergeCell ref="A6:A17"/>
    <mergeCell ref="A137:I137"/>
    <mergeCell ref="A138:B138"/>
    <mergeCell ref="C138:H138"/>
    <mergeCell ref="C25:G25"/>
    <mergeCell ref="C26:G26"/>
    <mergeCell ref="C27:G27"/>
    <mergeCell ref="C28:G28"/>
    <mergeCell ref="C29:G29"/>
    <mergeCell ref="C4:H4"/>
    <mergeCell ref="C5:H5"/>
    <mergeCell ref="C6:H6"/>
    <mergeCell ref="A18:A29"/>
    <mergeCell ref="C18:H18"/>
    <mergeCell ref="A4:B4"/>
    <mergeCell ref="A5:B5"/>
    <mergeCell ref="C20:G20"/>
    <mergeCell ref="C21:G21"/>
    <mergeCell ref="C22:G22"/>
    <mergeCell ref="C23:G23"/>
    <mergeCell ref="C24:G24"/>
    <mergeCell ref="C34:G34"/>
    <mergeCell ref="C35:G35"/>
    <mergeCell ref="A36:A41"/>
    <mergeCell ref="C36:H36"/>
    <mergeCell ref="C37:H37"/>
    <mergeCell ref="C38:H38"/>
    <mergeCell ref="C39:H39"/>
    <mergeCell ref="C40:H40"/>
    <mergeCell ref="C41:H41"/>
    <mergeCell ref="A30:A35"/>
    <mergeCell ref="C30:H30"/>
    <mergeCell ref="C31:G31"/>
    <mergeCell ref="C32:G32"/>
    <mergeCell ref="C33:G33"/>
    <mergeCell ref="C51:H51"/>
    <mergeCell ref="E58:G58"/>
    <mergeCell ref="E59:G59"/>
    <mergeCell ref="E63:G63"/>
    <mergeCell ref="A43:I43"/>
    <mergeCell ref="E60:G60"/>
    <mergeCell ref="A46:A51"/>
    <mergeCell ref="C46:H46"/>
    <mergeCell ref="C47:H47"/>
    <mergeCell ref="C48:H48"/>
    <mergeCell ref="C49:H49"/>
    <mergeCell ref="C50:H50"/>
    <mergeCell ref="A44:B44"/>
    <mergeCell ref="C44:H44"/>
    <mergeCell ref="A45:B45"/>
    <mergeCell ref="C45:H45"/>
    <mergeCell ref="E57:G57"/>
    <mergeCell ref="C77:H77"/>
    <mergeCell ref="E64:G64"/>
    <mergeCell ref="A52:A85"/>
    <mergeCell ref="C52:H52"/>
    <mergeCell ref="E53:G53"/>
    <mergeCell ref="E54:G54"/>
    <mergeCell ref="E55:G55"/>
    <mergeCell ref="E56:G56"/>
    <mergeCell ref="E69:G69"/>
    <mergeCell ref="E70:G70"/>
    <mergeCell ref="E71:G71"/>
    <mergeCell ref="E61:G61"/>
    <mergeCell ref="E62:G62"/>
    <mergeCell ref="E73:G73"/>
    <mergeCell ref="E74:G74"/>
    <mergeCell ref="E75:G75"/>
    <mergeCell ref="E76:G76"/>
    <mergeCell ref="E72:G72"/>
    <mergeCell ref="E65:G65"/>
    <mergeCell ref="E66:G66"/>
    <mergeCell ref="E67:G67"/>
    <mergeCell ref="E68:G68"/>
    <mergeCell ref="D85:E85"/>
    <mergeCell ref="F85:G85"/>
    <mergeCell ref="D91:E91"/>
    <mergeCell ref="F91:G91"/>
    <mergeCell ref="D89:E89"/>
    <mergeCell ref="F89:G89"/>
    <mergeCell ref="D90:E90"/>
    <mergeCell ref="F90:G90"/>
    <mergeCell ref="D78:E78"/>
    <mergeCell ref="F78:G78"/>
    <mergeCell ref="D79:E79"/>
    <mergeCell ref="F79:G79"/>
    <mergeCell ref="D82:E82"/>
    <mergeCell ref="F82:G82"/>
    <mergeCell ref="D83:E83"/>
    <mergeCell ref="F83:G83"/>
    <mergeCell ref="D80:E80"/>
    <mergeCell ref="F80:G80"/>
    <mergeCell ref="D81:E81"/>
    <mergeCell ref="F81:G81"/>
    <mergeCell ref="D84:E84"/>
    <mergeCell ref="F84:G84"/>
    <mergeCell ref="D92:E92"/>
    <mergeCell ref="F92:G92"/>
    <mergeCell ref="A86:A92"/>
    <mergeCell ref="C86:H86"/>
    <mergeCell ref="D87:E87"/>
    <mergeCell ref="F87:G87"/>
    <mergeCell ref="D88:E88"/>
    <mergeCell ref="F88:G88"/>
    <mergeCell ref="A116:A121"/>
    <mergeCell ref="C116:H116"/>
    <mergeCell ref="C117:H117"/>
    <mergeCell ref="C118:H118"/>
    <mergeCell ref="C119:H119"/>
    <mergeCell ref="C120:H120"/>
    <mergeCell ref="C121:H121"/>
    <mergeCell ref="C106:H106"/>
    <mergeCell ref="C107:H107"/>
    <mergeCell ref="A94:I94"/>
    <mergeCell ref="A95:B95"/>
    <mergeCell ref="C95:H95"/>
    <mergeCell ref="A96:B96"/>
    <mergeCell ref="C96:H96"/>
    <mergeCell ref="C97:H97"/>
    <mergeCell ref="C98:H98"/>
    <mergeCell ref="A129:A134"/>
    <mergeCell ref="C129:H129"/>
    <mergeCell ref="C130:H130"/>
    <mergeCell ref="C131:H131"/>
    <mergeCell ref="C132:H132"/>
    <mergeCell ref="C133:H133"/>
    <mergeCell ref="C100:H100"/>
    <mergeCell ref="C101:H101"/>
    <mergeCell ref="C128:H128"/>
    <mergeCell ref="C134:H134"/>
    <mergeCell ref="A108:A113"/>
    <mergeCell ref="C108:H108"/>
    <mergeCell ref="C109:H109"/>
    <mergeCell ref="C110:H110"/>
    <mergeCell ref="C111:H111"/>
    <mergeCell ref="C112:H112"/>
    <mergeCell ref="C113:H113"/>
    <mergeCell ref="A122:A127"/>
    <mergeCell ref="C122:H122"/>
    <mergeCell ref="C123:H123"/>
    <mergeCell ref="C124:H124"/>
    <mergeCell ref="C125:H125"/>
    <mergeCell ref="C126:H126"/>
    <mergeCell ref="A97:A101"/>
    <mergeCell ref="C135:H135"/>
    <mergeCell ref="D141:E141"/>
    <mergeCell ref="D146:E146"/>
    <mergeCell ref="F146:H146"/>
    <mergeCell ref="D147:E147"/>
    <mergeCell ref="F147:H147"/>
    <mergeCell ref="D144:E144"/>
    <mergeCell ref="F144:H144"/>
    <mergeCell ref="D145:E145"/>
    <mergeCell ref="D142:E142"/>
    <mergeCell ref="F142:H142"/>
    <mergeCell ref="D143:E143"/>
    <mergeCell ref="F143:H143"/>
    <mergeCell ref="C140:H140"/>
    <mergeCell ref="F141:H141"/>
    <mergeCell ref="F145:H145"/>
    <mergeCell ref="C99:H99"/>
    <mergeCell ref="A114:A115"/>
    <mergeCell ref="C114:H114"/>
    <mergeCell ref="C115:H115"/>
    <mergeCell ref="C127:H127"/>
    <mergeCell ref="A102:A107"/>
    <mergeCell ref="C102:H102"/>
    <mergeCell ref="C103:H103"/>
    <mergeCell ref="C104:H104"/>
    <mergeCell ref="C105:H105"/>
    <mergeCell ref="A139:B139"/>
    <mergeCell ref="C139:H139"/>
    <mergeCell ref="I174:J174"/>
    <mergeCell ref="C161:H161"/>
    <mergeCell ref="C162:H162"/>
    <mergeCell ref="C163:H163"/>
    <mergeCell ref="D148:E148"/>
    <mergeCell ref="F148:H148"/>
    <mergeCell ref="D149:E149"/>
    <mergeCell ref="F149:H149"/>
    <mergeCell ref="C157:H157"/>
    <mergeCell ref="C158:H158"/>
    <mergeCell ref="A140:A150"/>
    <mergeCell ref="C174:E174"/>
    <mergeCell ref="G174:H174"/>
    <mergeCell ref="C159:H159"/>
    <mergeCell ref="C150:H150"/>
    <mergeCell ref="C160:H160"/>
    <mergeCell ref="C173:H173"/>
    <mergeCell ref="C164:H164"/>
    <mergeCell ref="C165:H165"/>
    <mergeCell ref="C166:H166"/>
    <mergeCell ref="C167:H167"/>
  </mergeCells>
  <phoneticPr fontId="32" type="noConversion"/>
  <conditionalFormatting sqref="J140 J153:J154 J164:J170 J150:J151 J6 J18 J30 J36 J46 J52 J77 J86 J97 J102 J108 J114 J116 J122 J128:J129 J135">
    <cfRule type="cellIs" dxfId="22" priority="5" stopIfTrue="1" operator="between">
      <formula>0</formula>
      <formula>0</formula>
    </cfRule>
  </conditionalFormatting>
  <dataValidations count="2">
    <dataValidation type="whole" operator="greaterThanOrEqual" allowBlank="1" showInputMessage="1" showErrorMessage="1" sqref="J142:J149 J172:J173 J155:J163 J152 J104:J107 J110:J113 J115 J118:J121 J88:J92 J8:J17 J99:J101 J20:J29 J38:J41 J48:J51 J54:J76 J79:J85 J124:J127 J131:J134 J32:J35">
      <formula1>0</formula1>
      <formula2>0</formula2>
    </dataValidation>
    <dataValidation type="whole" allowBlank="1" showInputMessage="1" showErrorMessage="1" sqref="G174:H174 C3:H3">
      <formula1>1000000000000</formula1>
      <formula2>9999999999999</formula2>
    </dataValidation>
  </dataValidations>
  <pageMargins left="0.25" right="0.25" top="0.75" bottom="0.75" header="0.51180555555555551" footer="0.51180555555555551"/>
  <pageSetup paperSize="5" scale="75" firstPageNumber="0" fitToHeight="0" orientation="portrait" horizontalDpi="300" verticalDpi="300" r:id="rId1"/>
  <headerFooter alignWithMargins="0"/>
  <rowBreaks count="3" manualBreakCount="3">
    <brk id="42" max="16383" man="1"/>
    <brk id="93" max="16383" man="1"/>
    <brk id="13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7"/>
  </sheetPr>
  <dimension ref="A1:E66"/>
  <sheetViews>
    <sheetView workbookViewId="0">
      <selection activeCell="C3" sqref="C3"/>
    </sheetView>
  </sheetViews>
  <sheetFormatPr defaultColWidth="2.5546875" defaultRowHeight="18" customHeight="1" x14ac:dyDescent="0.25"/>
  <cols>
    <col min="1" max="2" width="4.109375" style="85" customWidth="1"/>
    <col min="3" max="3" width="78.6640625" style="52" customWidth="1"/>
    <col min="4" max="4" width="9.5546875" style="12" customWidth="1"/>
    <col min="5" max="5" width="16.33203125" style="85" customWidth="1"/>
    <col min="6" max="16384" width="2.5546875" style="52"/>
  </cols>
  <sheetData>
    <row r="1" spans="1:5" ht="18" customHeight="1" x14ac:dyDescent="0.25">
      <c r="A1" s="1014" t="s">
        <v>154</v>
      </c>
      <c r="B1" s="1015"/>
      <c r="C1" s="1015"/>
      <c r="D1" s="1015"/>
      <c r="E1" s="1016"/>
    </row>
    <row r="2" spans="1:5" ht="18" customHeight="1" x14ac:dyDescent="0.25">
      <c r="A2" s="830" t="s">
        <v>155</v>
      </c>
      <c r="B2" s="831"/>
      <c r="C2" s="831"/>
      <c r="D2" s="831"/>
      <c r="E2" s="832"/>
    </row>
    <row r="3" spans="1:5" ht="18" customHeight="1" x14ac:dyDescent="0.25">
      <c r="A3" s="830" t="s">
        <v>37</v>
      </c>
      <c r="B3" s="831"/>
      <c r="C3" s="741" t="str">
        <f>IF('IND (BUS PLUS)'!C4="","",'IND (BUS PLUS)'!C4)</f>
        <v>MUHAMMAD RAHIL IQBAL</v>
      </c>
      <c r="D3" s="496" t="s">
        <v>38</v>
      </c>
      <c r="E3" s="526" t="str">
        <f>PROFILE!AU7</f>
        <v>2024</v>
      </c>
    </row>
    <row r="4" spans="1:5" s="86" customFormat="1" ht="18" customHeight="1" x14ac:dyDescent="0.25">
      <c r="A4" s="830" t="s">
        <v>39</v>
      </c>
      <c r="B4" s="831"/>
      <c r="C4" s="741" t="str">
        <f>+'Annex-B'!C5:E5</f>
        <v>-</v>
      </c>
      <c r="D4" s="496" t="s">
        <v>40</v>
      </c>
      <c r="E4" s="559" t="str">
        <f>+'Annex-A'!I4</f>
        <v>-</v>
      </c>
    </row>
    <row r="5" spans="1:5" s="86" customFormat="1" ht="18" customHeight="1" x14ac:dyDescent="0.25">
      <c r="A5" s="534"/>
      <c r="B5" s="497" t="s">
        <v>42</v>
      </c>
      <c r="C5" s="497" t="s">
        <v>43</v>
      </c>
      <c r="D5" s="497" t="s">
        <v>44</v>
      </c>
      <c r="E5" s="560" t="s">
        <v>156</v>
      </c>
    </row>
    <row r="6" spans="1:5" ht="18" customHeight="1" x14ac:dyDescent="0.25">
      <c r="A6" s="1017" t="s">
        <v>157</v>
      </c>
      <c r="B6" s="325">
        <v>1</v>
      </c>
      <c r="C6" s="153" t="s">
        <v>700</v>
      </c>
      <c r="D6" s="497">
        <v>3239</v>
      </c>
      <c r="E6" s="589">
        <f>SUM(E7:E37)</f>
        <v>0</v>
      </c>
    </row>
    <row r="7" spans="1:5" s="9" customFormat="1" ht="18" customHeight="1" x14ac:dyDescent="0.25">
      <c r="A7" s="1017"/>
      <c r="B7" s="334">
        <f t="shared" ref="B7:B48" si="0">+B6+1</f>
        <v>2</v>
      </c>
      <c r="C7" s="335" t="s">
        <v>159</v>
      </c>
      <c r="D7" s="497">
        <v>3202</v>
      </c>
      <c r="E7" s="561"/>
    </row>
    <row r="8" spans="1:5" s="9" customFormat="1" ht="18" customHeight="1" x14ac:dyDescent="0.25">
      <c r="A8" s="1017"/>
      <c r="B8" s="334">
        <f t="shared" si="0"/>
        <v>3</v>
      </c>
      <c r="C8" s="335" t="s">
        <v>376</v>
      </c>
      <c r="D8" s="497">
        <v>3203</v>
      </c>
      <c r="E8" s="561"/>
    </row>
    <row r="9" spans="1:5" s="9" customFormat="1" ht="24" customHeight="1" x14ac:dyDescent="0.25">
      <c r="A9" s="1017"/>
      <c r="B9" s="334">
        <f t="shared" si="0"/>
        <v>4</v>
      </c>
      <c r="C9" s="335" t="s">
        <v>160</v>
      </c>
      <c r="D9" s="16">
        <v>3205</v>
      </c>
      <c r="E9" s="561"/>
    </row>
    <row r="10" spans="1:5" s="9" customFormat="1" ht="18" customHeight="1" x14ac:dyDescent="0.25">
      <c r="A10" s="1017"/>
      <c r="B10" s="334">
        <f t="shared" si="0"/>
        <v>5</v>
      </c>
      <c r="C10" s="335" t="s">
        <v>377</v>
      </c>
      <c r="D10" s="16">
        <v>3206</v>
      </c>
      <c r="E10" s="561"/>
    </row>
    <row r="11" spans="1:5" s="9" customFormat="1" ht="18" customHeight="1" x14ac:dyDescent="0.25">
      <c r="A11" s="1017"/>
      <c r="B11" s="334">
        <f t="shared" si="0"/>
        <v>6</v>
      </c>
      <c r="C11" s="335" t="s">
        <v>161</v>
      </c>
      <c r="D11" s="16">
        <v>3207</v>
      </c>
      <c r="E11" s="561"/>
    </row>
    <row r="12" spans="1:5" s="9" customFormat="1" ht="26.4" x14ac:dyDescent="0.25">
      <c r="A12" s="1017"/>
      <c r="B12" s="334">
        <f t="shared" si="0"/>
        <v>7</v>
      </c>
      <c r="C12" s="722" t="s">
        <v>727</v>
      </c>
      <c r="D12" s="333">
        <v>3227</v>
      </c>
      <c r="E12" s="561"/>
    </row>
    <row r="13" spans="1:5" s="9" customFormat="1" ht="18" customHeight="1" x14ac:dyDescent="0.25">
      <c r="A13" s="1017"/>
      <c r="B13" s="334">
        <f t="shared" si="0"/>
        <v>8</v>
      </c>
      <c r="C13" s="335" t="s">
        <v>162</v>
      </c>
      <c r="D13" s="16">
        <v>3208</v>
      </c>
      <c r="E13" s="561"/>
    </row>
    <row r="14" spans="1:5" s="9" customFormat="1" ht="18" customHeight="1" x14ac:dyDescent="0.25">
      <c r="A14" s="1017"/>
      <c r="B14" s="334">
        <f t="shared" si="0"/>
        <v>9</v>
      </c>
      <c r="C14" s="336" t="s">
        <v>551</v>
      </c>
      <c r="D14" s="16">
        <v>3209</v>
      </c>
      <c r="E14" s="561"/>
    </row>
    <row r="15" spans="1:5" s="9" customFormat="1" ht="23.25" customHeight="1" x14ac:dyDescent="0.25">
      <c r="A15" s="1017"/>
      <c r="B15" s="334">
        <f t="shared" si="0"/>
        <v>10</v>
      </c>
      <c r="C15" s="336" t="s">
        <v>552</v>
      </c>
      <c r="D15" s="16">
        <v>3210</v>
      </c>
      <c r="E15" s="561"/>
    </row>
    <row r="16" spans="1:5" s="9" customFormat="1" ht="18" customHeight="1" x14ac:dyDescent="0.25">
      <c r="A16" s="1017"/>
      <c r="B16" s="334">
        <f t="shared" si="0"/>
        <v>11</v>
      </c>
      <c r="C16" s="335" t="s">
        <v>163</v>
      </c>
      <c r="D16" s="16">
        <v>3211</v>
      </c>
      <c r="E16" s="561"/>
    </row>
    <row r="17" spans="1:5" s="9" customFormat="1" ht="18" customHeight="1" x14ac:dyDescent="0.25">
      <c r="A17" s="1017"/>
      <c r="B17" s="334">
        <f t="shared" si="0"/>
        <v>12</v>
      </c>
      <c r="C17" s="335" t="s">
        <v>164</v>
      </c>
      <c r="D17" s="16">
        <v>3212</v>
      </c>
      <c r="E17" s="561"/>
    </row>
    <row r="18" spans="1:5" s="9" customFormat="1" ht="22.5" customHeight="1" x14ac:dyDescent="0.25">
      <c r="A18" s="1017"/>
      <c r="B18" s="334">
        <f t="shared" si="0"/>
        <v>13</v>
      </c>
      <c r="C18" s="336" t="s">
        <v>553</v>
      </c>
      <c r="D18" s="214">
        <v>3204</v>
      </c>
      <c r="E18" s="562"/>
    </row>
    <row r="19" spans="1:5" s="9" customFormat="1" ht="24" customHeight="1" x14ac:dyDescent="0.25">
      <c r="A19" s="1017"/>
      <c r="B19" s="334">
        <f t="shared" si="0"/>
        <v>14</v>
      </c>
      <c r="C19" s="335" t="s">
        <v>554</v>
      </c>
      <c r="D19" s="16">
        <v>3213</v>
      </c>
      <c r="E19" s="561"/>
    </row>
    <row r="20" spans="1:5" s="9" customFormat="1" ht="26.1" customHeight="1" x14ac:dyDescent="0.25">
      <c r="A20" s="1017"/>
      <c r="B20" s="334">
        <f t="shared" si="0"/>
        <v>15</v>
      </c>
      <c r="C20" s="335" t="s">
        <v>165</v>
      </c>
      <c r="D20" s="16">
        <v>3215</v>
      </c>
      <c r="E20" s="561"/>
    </row>
    <row r="21" spans="1:5" s="9" customFormat="1" ht="18" customHeight="1" x14ac:dyDescent="0.25">
      <c r="A21" s="1017"/>
      <c r="B21" s="334">
        <f t="shared" si="0"/>
        <v>16</v>
      </c>
      <c r="C21" s="335" t="s">
        <v>166</v>
      </c>
      <c r="D21" s="497">
        <v>3216</v>
      </c>
      <c r="E21" s="561"/>
    </row>
    <row r="22" spans="1:5" s="9" customFormat="1" ht="18" customHeight="1" x14ac:dyDescent="0.25">
      <c r="A22" s="1017"/>
      <c r="B22" s="334">
        <f t="shared" si="0"/>
        <v>17</v>
      </c>
      <c r="C22" s="335" t="s">
        <v>167</v>
      </c>
      <c r="D22" s="16">
        <v>3217</v>
      </c>
      <c r="E22" s="561"/>
    </row>
    <row r="23" spans="1:5" ht="26.25" customHeight="1" x14ac:dyDescent="0.25">
      <c r="A23" s="1017"/>
      <c r="B23" s="334">
        <f t="shared" si="0"/>
        <v>18</v>
      </c>
      <c r="C23" s="335" t="s">
        <v>555</v>
      </c>
      <c r="D23" s="497">
        <v>3224</v>
      </c>
      <c r="E23" s="561"/>
    </row>
    <row r="24" spans="1:5" s="9" customFormat="1" ht="15" x14ac:dyDescent="0.25">
      <c r="A24" s="1017"/>
      <c r="B24" s="334">
        <f t="shared" si="0"/>
        <v>19</v>
      </c>
      <c r="C24" s="557" t="s">
        <v>701</v>
      </c>
      <c r="D24" s="496">
        <v>322902</v>
      </c>
      <c r="E24" s="563"/>
    </row>
    <row r="25" spans="1:5" s="9" customFormat="1" ht="23.4" x14ac:dyDescent="0.25">
      <c r="A25" s="1017"/>
      <c r="B25" s="334">
        <f t="shared" si="0"/>
        <v>20</v>
      </c>
      <c r="C25" s="558" t="s">
        <v>702</v>
      </c>
      <c r="D25" s="496">
        <v>322903</v>
      </c>
      <c r="E25" s="563"/>
    </row>
    <row r="26" spans="1:5" s="9" customFormat="1" ht="15" x14ac:dyDescent="0.25">
      <c r="A26" s="1017"/>
      <c r="B26" s="334">
        <f t="shared" si="0"/>
        <v>21</v>
      </c>
      <c r="C26" s="558" t="s">
        <v>169</v>
      </c>
      <c r="D26" s="496">
        <v>3220</v>
      </c>
      <c r="E26" s="563"/>
    </row>
    <row r="27" spans="1:5" s="9" customFormat="1" ht="15" x14ac:dyDescent="0.25">
      <c r="A27" s="1017"/>
      <c r="B27" s="334">
        <f t="shared" si="0"/>
        <v>22</v>
      </c>
      <c r="C27" s="558" t="s">
        <v>158</v>
      </c>
      <c r="D27" s="496">
        <v>3201</v>
      </c>
      <c r="E27" s="563"/>
    </row>
    <row r="28" spans="1:5" s="9" customFormat="1" ht="15" x14ac:dyDescent="0.25">
      <c r="A28" s="1017"/>
      <c r="B28" s="334">
        <f t="shared" si="0"/>
        <v>23</v>
      </c>
      <c r="C28" s="558" t="s">
        <v>375</v>
      </c>
      <c r="D28" s="496">
        <v>3219</v>
      </c>
      <c r="E28" s="563"/>
    </row>
    <row r="29" spans="1:5" s="9" customFormat="1" ht="15" x14ac:dyDescent="0.25">
      <c r="A29" s="1017"/>
      <c r="B29" s="334">
        <f t="shared" si="0"/>
        <v>24</v>
      </c>
      <c r="C29" s="558" t="s">
        <v>168</v>
      </c>
      <c r="D29" s="496">
        <v>3218</v>
      </c>
      <c r="E29" s="563"/>
    </row>
    <row r="30" spans="1:5" ht="18" customHeight="1" x14ac:dyDescent="0.25">
      <c r="A30" s="1017"/>
      <c r="B30" s="334">
        <f t="shared" si="0"/>
        <v>25</v>
      </c>
      <c r="C30" s="335" t="s">
        <v>170</v>
      </c>
      <c r="D30" s="497">
        <v>3225</v>
      </c>
      <c r="E30" s="561"/>
    </row>
    <row r="31" spans="1:5" ht="18" customHeight="1" x14ac:dyDescent="0.25">
      <c r="A31" s="1017"/>
      <c r="B31" s="334">
        <f t="shared" si="0"/>
        <v>26</v>
      </c>
      <c r="C31" s="335" t="s">
        <v>171</v>
      </c>
      <c r="D31" s="497">
        <v>3226</v>
      </c>
      <c r="E31" s="561"/>
    </row>
    <row r="32" spans="1:5" ht="18" customHeight="1" x14ac:dyDescent="0.25">
      <c r="A32" s="1017"/>
      <c r="B32" s="334">
        <f t="shared" si="0"/>
        <v>27</v>
      </c>
      <c r="C32" s="335" t="s">
        <v>172</v>
      </c>
      <c r="D32" s="497">
        <v>3230</v>
      </c>
      <c r="E32" s="561"/>
    </row>
    <row r="33" spans="1:5" ht="18" customHeight="1" x14ac:dyDescent="0.25">
      <c r="A33" s="1017"/>
      <c r="B33" s="334">
        <f t="shared" si="0"/>
        <v>28</v>
      </c>
      <c r="C33" s="335" t="s">
        <v>173</v>
      </c>
      <c r="D33" s="497">
        <v>3235</v>
      </c>
      <c r="E33" s="561"/>
    </row>
    <row r="34" spans="1:5" ht="18" customHeight="1" x14ac:dyDescent="0.25">
      <c r="A34" s="1017"/>
      <c r="B34" s="334">
        <f t="shared" si="0"/>
        <v>29</v>
      </c>
      <c r="C34" s="335" t="s">
        <v>174</v>
      </c>
      <c r="D34" s="497">
        <v>3236</v>
      </c>
      <c r="E34" s="561"/>
    </row>
    <row r="35" spans="1:5" ht="18" customHeight="1" x14ac:dyDescent="0.25">
      <c r="A35" s="1017"/>
      <c r="B35" s="334">
        <f t="shared" si="0"/>
        <v>30</v>
      </c>
      <c r="C35" s="335" t="s">
        <v>175</v>
      </c>
      <c r="D35" s="497">
        <v>3237</v>
      </c>
      <c r="E35" s="561"/>
    </row>
    <row r="36" spans="1:5" ht="18" customHeight="1" x14ac:dyDescent="0.25">
      <c r="A36" s="1017"/>
      <c r="B36" s="334">
        <f t="shared" si="0"/>
        <v>31</v>
      </c>
      <c r="C36" s="335" t="s">
        <v>402</v>
      </c>
      <c r="D36" s="497">
        <v>3238</v>
      </c>
      <c r="E36" s="561"/>
    </row>
    <row r="37" spans="1:5" s="9" customFormat="1" ht="18" customHeight="1" x14ac:dyDescent="0.25">
      <c r="A37" s="1017"/>
      <c r="B37" s="334">
        <f t="shared" si="0"/>
        <v>32</v>
      </c>
      <c r="C37" s="335" t="s">
        <v>176</v>
      </c>
      <c r="D37" s="497">
        <v>3234</v>
      </c>
      <c r="E37" s="561"/>
    </row>
    <row r="38" spans="1:5" ht="18" customHeight="1" x14ac:dyDescent="0.25">
      <c r="A38" s="848" t="s">
        <v>177</v>
      </c>
      <c r="B38" s="334">
        <f t="shared" si="0"/>
        <v>33</v>
      </c>
      <c r="C38" s="154" t="s">
        <v>728</v>
      </c>
      <c r="D38" s="497">
        <v>3259</v>
      </c>
      <c r="E38" s="589">
        <f>SUM(E39:E48)</f>
        <v>0</v>
      </c>
    </row>
    <row r="39" spans="1:5" ht="18" customHeight="1" x14ac:dyDescent="0.25">
      <c r="A39" s="849"/>
      <c r="B39" s="334">
        <f t="shared" si="0"/>
        <v>34</v>
      </c>
      <c r="C39" s="335" t="s">
        <v>178</v>
      </c>
      <c r="D39" s="497">
        <v>3245</v>
      </c>
      <c r="E39" s="561"/>
    </row>
    <row r="40" spans="1:5" ht="18" customHeight="1" x14ac:dyDescent="0.25">
      <c r="A40" s="849"/>
      <c r="B40" s="334">
        <f t="shared" si="0"/>
        <v>35</v>
      </c>
      <c r="C40" s="335" t="s">
        <v>179</v>
      </c>
      <c r="D40" s="497">
        <v>3246</v>
      </c>
      <c r="E40" s="561"/>
    </row>
    <row r="41" spans="1:5" ht="18" customHeight="1" x14ac:dyDescent="0.25">
      <c r="A41" s="849"/>
      <c r="B41" s="334">
        <f t="shared" si="0"/>
        <v>36</v>
      </c>
      <c r="C41" s="335" t="s">
        <v>378</v>
      </c>
      <c r="D41" s="497">
        <v>3247</v>
      </c>
      <c r="E41" s="561"/>
    </row>
    <row r="42" spans="1:5" ht="18" customHeight="1" x14ac:dyDescent="0.25">
      <c r="A42" s="849"/>
      <c r="B42" s="334">
        <f t="shared" si="0"/>
        <v>37</v>
      </c>
      <c r="C42" s="335" t="s">
        <v>379</v>
      </c>
      <c r="D42" s="497">
        <v>3248</v>
      </c>
      <c r="E42" s="561"/>
    </row>
    <row r="43" spans="1:5" s="85" customFormat="1" ht="18" customHeight="1" x14ac:dyDescent="0.25">
      <c r="A43" s="849"/>
      <c r="B43" s="334">
        <f t="shared" si="0"/>
        <v>38</v>
      </c>
      <c r="C43" s="336" t="s">
        <v>381</v>
      </c>
      <c r="D43" s="497">
        <v>3250</v>
      </c>
      <c r="E43" s="561"/>
    </row>
    <row r="44" spans="1:5" ht="18" customHeight="1" x14ac:dyDescent="0.25">
      <c r="A44" s="849"/>
      <c r="B44" s="334">
        <f t="shared" si="0"/>
        <v>39</v>
      </c>
      <c r="C44" s="335" t="s">
        <v>182</v>
      </c>
      <c r="D44" s="497">
        <v>3254</v>
      </c>
      <c r="E44" s="561"/>
    </row>
    <row r="45" spans="1:5" ht="18" customHeight="1" x14ac:dyDescent="0.25">
      <c r="A45" s="849"/>
      <c r="B45" s="334">
        <f t="shared" si="0"/>
        <v>40</v>
      </c>
      <c r="C45" s="335" t="s">
        <v>180</v>
      </c>
      <c r="D45" s="497">
        <v>3255</v>
      </c>
      <c r="E45" s="561"/>
    </row>
    <row r="46" spans="1:5" ht="18" customHeight="1" x14ac:dyDescent="0.25">
      <c r="A46" s="849"/>
      <c r="B46" s="334">
        <f t="shared" si="0"/>
        <v>41</v>
      </c>
      <c r="C46" s="335" t="s">
        <v>181</v>
      </c>
      <c r="D46" s="497">
        <v>3256</v>
      </c>
      <c r="E46" s="561"/>
    </row>
    <row r="47" spans="1:5" ht="18" customHeight="1" x14ac:dyDescent="0.25">
      <c r="A47" s="849"/>
      <c r="B47" s="334">
        <f t="shared" si="0"/>
        <v>42</v>
      </c>
      <c r="C47" s="335" t="s">
        <v>145</v>
      </c>
      <c r="D47" s="497">
        <v>3257</v>
      </c>
      <c r="E47" s="561"/>
    </row>
    <row r="48" spans="1:5" ht="18" customHeight="1" x14ac:dyDescent="0.25">
      <c r="A48" s="1013"/>
      <c r="B48" s="334">
        <f t="shared" si="0"/>
        <v>43</v>
      </c>
      <c r="C48" s="335" t="s">
        <v>380</v>
      </c>
      <c r="D48" s="497">
        <v>3258</v>
      </c>
      <c r="E48" s="561"/>
    </row>
    <row r="49" spans="1:5" ht="18" customHeight="1" thickBot="1" x14ac:dyDescent="0.35">
      <c r="A49" s="521"/>
      <c r="B49" s="564"/>
      <c r="C49" s="567" t="s">
        <v>70</v>
      </c>
      <c r="D49" s="565" t="s">
        <v>71</v>
      </c>
      <c r="E49" s="566"/>
    </row>
    <row r="63" spans="1:5" s="9" customFormat="1" ht="18" customHeight="1" x14ac:dyDescent="0.25">
      <c r="A63" s="85"/>
      <c r="B63" s="85"/>
      <c r="C63" s="52"/>
      <c r="D63" s="12"/>
      <c r="E63" s="85"/>
    </row>
    <row r="64" spans="1:5" s="9" customFormat="1" ht="18" customHeight="1" x14ac:dyDescent="0.25">
      <c r="A64" s="85"/>
      <c r="B64" s="85"/>
      <c r="C64" s="52"/>
      <c r="D64" s="12"/>
      <c r="E64" s="85"/>
    </row>
    <row r="65" spans="1:5" s="9" customFormat="1" ht="18" customHeight="1" x14ac:dyDescent="0.25">
      <c r="A65" s="85"/>
      <c r="B65" s="85"/>
      <c r="C65" s="52"/>
      <c r="D65" s="12"/>
      <c r="E65" s="85"/>
    </row>
    <row r="66" spans="1:5" s="9" customFormat="1" ht="18" customHeight="1" x14ac:dyDescent="0.25">
      <c r="A66" s="85"/>
      <c r="B66" s="85"/>
      <c r="C66" s="52"/>
      <c r="D66" s="12"/>
      <c r="E66" s="85"/>
    </row>
  </sheetData>
  <sheetProtection selectLockedCells="1" selectUnlockedCells="1"/>
  <mergeCells count="6">
    <mergeCell ref="A38:A48"/>
    <mergeCell ref="A1:E1"/>
    <mergeCell ref="A2:E2"/>
    <mergeCell ref="A3:B3"/>
    <mergeCell ref="A4:B4"/>
    <mergeCell ref="A6:A37"/>
  </mergeCells>
  <phoneticPr fontId="32" type="noConversion"/>
  <dataValidations count="1">
    <dataValidation type="whole" operator="greaterThanOrEqual" allowBlank="1" showInputMessage="1" showErrorMessage="1" sqref="WVM1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E6:E48">
      <formula1>0</formula1>
      <formula2>0</formula2>
    </dataValidation>
  </dataValidations>
  <pageMargins left="0.25" right="0.25" top="0.25" bottom="0.25" header="0.51180555555555596" footer="0.51180555555555596"/>
  <pageSetup paperSize="5" scale="92" firstPageNumber="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7"/>
  </sheetPr>
  <dimension ref="A1:IV28"/>
  <sheetViews>
    <sheetView workbookViewId="0">
      <selection activeCell="C3" sqref="C3:M3"/>
    </sheetView>
  </sheetViews>
  <sheetFormatPr defaultColWidth="2.5546875" defaultRowHeight="18" customHeight="1" x14ac:dyDescent="0.25"/>
  <cols>
    <col min="1" max="1" width="4.109375" style="87" customWidth="1"/>
    <col min="2" max="2" width="4.109375" style="88" customWidth="1"/>
    <col min="3" max="3" width="41.5546875" style="89" customWidth="1"/>
    <col min="4" max="4" width="8.5546875" style="90" customWidth="1"/>
    <col min="5" max="7" width="14" style="87" customWidth="1"/>
    <col min="8" max="8" width="9.5546875" style="87" customWidth="1"/>
    <col min="9" max="9" width="14" style="87" customWidth="1"/>
    <col min="10" max="10" width="7.44140625" style="91" customWidth="1"/>
    <col min="11" max="11" width="7.44140625" style="87" customWidth="1"/>
    <col min="12" max="12" width="14" style="91" customWidth="1"/>
    <col min="13" max="13" width="7.44140625" style="91" customWidth="1"/>
    <col min="14" max="15" width="14" style="87" customWidth="1"/>
    <col min="16" max="24" width="2.5546875" style="7" customWidth="1"/>
    <col min="25" max="25" width="11.33203125" style="7" customWidth="1"/>
    <col min="26" max="160" width="2.5546875" style="7" customWidth="1"/>
    <col min="161" max="16384" width="2.5546875" style="87"/>
  </cols>
  <sheetData>
    <row r="1" spans="1:256" ht="18" customHeight="1" x14ac:dyDescent="0.25">
      <c r="A1" s="1022" t="s">
        <v>183</v>
      </c>
      <c r="B1" s="1023"/>
      <c r="C1" s="1023"/>
      <c r="D1" s="1023"/>
      <c r="E1" s="1023"/>
      <c r="F1" s="1023"/>
      <c r="G1" s="1023"/>
      <c r="H1" s="1023"/>
      <c r="I1" s="1023"/>
      <c r="J1" s="1023"/>
      <c r="K1" s="1023"/>
      <c r="L1" s="1023"/>
      <c r="M1" s="1023"/>
      <c r="N1" s="1023"/>
      <c r="O1" s="1024"/>
    </row>
    <row r="2" spans="1:256" ht="18" customHeight="1" x14ac:dyDescent="0.25">
      <c r="A2" s="1022" t="s">
        <v>184</v>
      </c>
      <c r="B2" s="1023"/>
      <c r="C2" s="1023"/>
      <c r="D2" s="1023"/>
      <c r="E2" s="1023"/>
      <c r="F2" s="1023"/>
      <c r="G2" s="1023"/>
      <c r="H2" s="1023"/>
      <c r="I2" s="1023"/>
      <c r="J2" s="1023"/>
      <c r="K2" s="1023"/>
      <c r="L2" s="1023"/>
      <c r="M2" s="1023"/>
      <c r="N2" s="1023"/>
      <c r="O2" s="1024"/>
    </row>
    <row r="3" spans="1:256" s="12" customFormat="1" ht="18" customHeight="1" x14ac:dyDescent="0.25">
      <c r="A3" s="1025" t="s">
        <v>37</v>
      </c>
      <c r="B3" s="1026"/>
      <c r="C3" s="1027" t="str">
        <f>IF('IND (BUS PLUS)'!C4="","",'IND (BUS PLUS)'!C4)</f>
        <v>MUHAMMAD RAHIL IQBAL</v>
      </c>
      <c r="D3" s="1028"/>
      <c r="E3" s="1028"/>
      <c r="F3" s="1028"/>
      <c r="G3" s="1028"/>
      <c r="H3" s="1028"/>
      <c r="I3" s="1028"/>
      <c r="J3" s="1028"/>
      <c r="K3" s="1028"/>
      <c r="L3" s="1028"/>
      <c r="M3" s="1029"/>
      <c r="N3" s="10" t="s">
        <v>38</v>
      </c>
      <c r="O3" s="19" t="str">
        <f>PROFILE!AU7</f>
        <v>2024</v>
      </c>
    </row>
    <row r="4" spans="1:256" s="12" customFormat="1" ht="18" customHeight="1" x14ac:dyDescent="0.25">
      <c r="A4" s="1025" t="s">
        <v>39</v>
      </c>
      <c r="B4" s="1026"/>
      <c r="C4" s="1027" t="str">
        <f>+'Annex-A'!C4:G4</f>
        <v>-</v>
      </c>
      <c r="D4" s="1028"/>
      <c r="E4" s="1028"/>
      <c r="F4" s="1028"/>
      <c r="G4" s="1028"/>
      <c r="H4" s="1028"/>
      <c r="I4" s="1028"/>
      <c r="J4" s="1028"/>
      <c r="K4" s="1028"/>
      <c r="L4" s="1028"/>
      <c r="M4" s="1029"/>
      <c r="N4" s="10" t="s">
        <v>40</v>
      </c>
      <c r="O4" s="63" t="str">
        <f>+'Annex-C'!E4</f>
        <v>-</v>
      </c>
    </row>
    <row r="5" spans="1:256" s="97" customFormat="1" ht="33.75" customHeight="1" x14ac:dyDescent="0.25">
      <c r="A5" s="92"/>
      <c r="B5" s="93" t="s">
        <v>42</v>
      </c>
      <c r="C5" s="94" t="s">
        <v>43</v>
      </c>
      <c r="D5" s="79" t="s">
        <v>44</v>
      </c>
      <c r="E5" s="95" t="s">
        <v>185</v>
      </c>
      <c r="F5" s="95" t="s">
        <v>186</v>
      </c>
      <c r="G5" s="96" t="s">
        <v>187</v>
      </c>
      <c r="H5" s="79" t="s">
        <v>188</v>
      </c>
      <c r="I5" s="95" t="s">
        <v>189</v>
      </c>
      <c r="J5" s="79" t="s">
        <v>188</v>
      </c>
      <c r="K5" s="95" t="s">
        <v>190</v>
      </c>
      <c r="L5" s="79" t="s">
        <v>191</v>
      </c>
      <c r="M5" s="79" t="s">
        <v>190</v>
      </c>
      <c r="N5" s="95" t="s">
        <v>192</v>
      </c>
      <c r="O5" s="95" t="s">
        <v>193</v>
      </c>
      <c r="FE5" s="98"/>
      <c r="FF5" s="98"/>
      <c r="FG5" s="98"/>
      <c r="FH5" s="98"/>
      <c r="FI5" s="98"/>
      <c r="FJ5" s="98"/>
      <c r="FK5" s="98"/>
      <c r="FL5" s="98"/>
      <c r="FM5" s="98"/>
      <c r="FN5" s="98"/>
      <c r="FO5" s="98"/>
      <c r="FP5" s="98"/>
      <c r="FQ5" s="98"/>
      <c r="FR5" s="98"/>
      <c r="FS5" s="98"/>
      <c r="FT5" s="98"/>
      <c r="FU5" s="98"/>
      <c r="FV5" s="98"/>
      <c r="FW5" s="98"/>
      <c r="FX5" s="98"/>
      <c r="FY5" s="98"/>
      <c r="FZ5" s="98"/>
      <c r="GA5" s="98"/>
      <c r="GB5" s="98"/>
      <c r="GC5" s="98"/>
      <c r="GD5" s="98"/>
      <c r="GE5" s="98"/>
      <c r="GF5" s="98"/>
      <c r="GG5" s="98"/>
      <c r="GH5" s="98"/>
      <c r="GI5" s="98"/>
      <c r="GJ5" s="98"/>
      <c r="GK5" s="98"/>
      <c r="GL5" s="98"/>
      <c r="GM5" s="98"/>
      <c r="GN5" s="98"/>
      <c r="GO5" s="98"/>
      <c r="GP5" s="98"/>
      <c r="GQ5" s="98"/>
      <c r="GR5" s="98"/>
      <c r="GS5" s="98"/>
      <c r="GT5" s="98"/>
      <c r="GU5" s="98"/>
      <c r="GV5" s="98"/>
      <c r="GW5" s="98"/>
      <c r="GX5" s="98"/>
      <c r="GY5" s="98"/>
      <c r="GZ5" s="98"/>
      <c r="HA5" s="98"/>
      <c r="HB5" s="98"/>
      <c r="HC5" s="98"/>
      <c r="HD5" s="98"/>
      <c r="HE5" s="98"/>
      <c r="HF5" s="98"/>
      <c r="HG5" s="98"/>
      <c r="HH5" s="98"/>
      <c r="HI5" s="98"/>
      <c r="HJ5" s="98"/>
      <c r="HK5" s="98"/>
      <c r="HL5" s="98"/>
      <c r="HM5" s="98"/>
      <c r="HN5" s="98"/>
      <c r="HO5" s="98"/>
      <c r="HP5" s="98"/>
      <c r="HQ5" s="98"/>
      <c r="HR5" s="98"/>
      <c r="HS5" s="98"/>
      <c r="HT5" s="98"/>
      <c r="HU5" s="98"/>
      <c r="HV5" s="98"/>
      <c r="HW5" s="98"/>
      <c r="HX5" s="98"/>
      <c r="HY5" s="98"/>
      <c r="HZ5" s="98"/>
      <c r="IA5" s="98"/>
      <c r="IB5" s="98"/>
      <c r="IC5" s="98"/>
      <c r="ID5" s="98"/>
      <c r="IE5" s="98"/>
      <c r="IF5" s="98"/>
      <c r="IG5" s="98"/>
      <c r="IH5" s="98"/>
      <c r="II5" s="98"/>
      <c r="IJ5" s="98"/>
      <c r="IK5" s="98"/>
      <c r="IL5" s="98"/>
      <c r="IM5" s="98"/>
      <c r="IN5" s="98"/>
      <c r="IO5" s="98"/>
      <c r="IP5" s="98"/>
      <c r="IQ5" s="98"/>
      <c r="IR5" s="98"/>
      <c r="IS5" s="98"/>
      <c r="IT5" s="98"/>
      <c r="IU5" s="98"/>
      <c r="IV5" s="98"/>
    </row>
    <row r="6" spans="1:256" s="97" customFormat="1" ht="18" customHeight="1" x14ac:dyDescent="0.25">
      <c r="A6" s="92"/>
      <c r="B6" s="93"/>
      <c r="C6" s="94"/>
      <c r="D6" s="79"/>
      <c r="E6" s="95" t="s">
        <v>47</v>
      </c>
      <c r="F6" s="95" t="s">
        <v>48</v>
      </c>
      <c r="G6" s="96" t="s">
        <v>49</v>
      </c>
      <c r="H6" s="79" t="s">
        <v>194</v>
      </c>
      <c r="I6" s="95" t="s">
        <v>195</v>
      </c>
      <c r="J6" s="79" t="s">
        <v>196</v>
      </c>
      <c r="K6" s="95"/>
      <c r="L6" s="79" t="s">
        <v>197</v>
      </c>
      <c r="M6" s="79"/>
      <c r="N6" s="95" t="s">
        <v>198</v>
      </c>
      <c r="O6" s="95" t="s">
        <v>199</v>
      </c>
      <c r="FE6" s="98"/>
      <c r="FF6" s="98"/>
      <c r="FG6" s="98"/>
      <c r="FH6" s="98"/>
      <c r="FI6" s="98"/>
      <c r="FJ6" s="98"/>
      <c r="FK6" s="98"/>
      <c r="FL6" s="98"/>
      <c r="FM6" s="98"/>
      <c r="FN6" s="98"/>
      <c r="FO6" s="98"/>
      <c r="FP6" s="98"/>
      <c r="FQ6" s="98"/>
      <c r="FR6" s="98"/>
      <c r="FS6" s="98"/>
      <c r="FT6" s="98"/>
      <c r="FU6" s="98"/>
      <c r="FV6" s="98"/>
      <c r="FW6" s="98"/>
      <c r="FX6" s="98"/>
      <c r="FY6" s="98"/>
      <c r="FZ6" s="98"/>
      <c r="GA6" s="98"/>
      <c r="GB6" s="98"/>
      <c r="GC6" s="98"/>
      <c r="GD6" s="98"/>
      <c r="GE6" s="98"/>
      <c r="GF6" s="98"/>
      <c r="GG6" s="98"/>
      <c r="GH6" s="98"/>
      <c r="GI6" s="98"/>
      <c r="GJ6" s="98"/>
      <c r="GK6" s="98"/>
      <c r="GL6" s="98"/>
      <c r="GM6" s="98"/>
      <c r="GN6" s="98"/>
      <c r="GO6" s="98"/>
      <c r="GP6" s="98"/>
      <c r="GQ6" s="98"/>
      <c r="GR6" s="98"/>
      <c r="GS6" s="98"/>
      <c r="GT6" s="98"/>
      <c r="GU6" s="98"/>
      <c r="GV6" s="98"/>
      <c r="GW6" s="98"/>
      <c r="GX6" s="98"/>
      <c r="GY6" s="98"/>
      <c r="GZ6" s="98"/>
      <c r="HA6" s="98"/>
      <c r="HB6" s="98"/>
      <c r="HC6" s="98"/>
      <c r="HD6" s="98"/>
      <c r="HE6" s="98"/>
      <c r="HF6" s="98"/>
      <c r="HG6" s="98"/>
      <c r="HH6" s="98"/>
      <c r="HI6" s="98"/>
      <c r="HJ6" s="98"/>
      <c r="HK6" s="98"/>
      <c r="HL6" s="98"/>
      <c r="HM6" s="98"/>
      <c r="HN6" s="98"/>
      <c r="HO6" s="98"/>
      <c r="HP6" s="98"/>
      <c r="HQ6" s="98"/>
      <c r="HR6" s="98"/>
      <c r="HS6" s="98"/>
      <c r="HT6" s="98"/>
      <c r="HU6" s="98"/>
      <c r="HV6" s="98"/>
      <c r="HW6" s="98"/>
      <c r="HX6" s="98"/>
      <c r="HY6" s="98"/>
      <c r="HZ6" s="98"/>
      <c r="IA6" s="98"/>
      <c r="IB6" s="98"/>
      <c r="IC6" s="98"/>
      <c r="ID6" s="98"/>
      <c r="IE6" s="98"/>
      <c r="IF6" s="98"/>
      <c r="IG6" s="98"/>
      <c r="IH6" s="98"/>
      <c r="II6" s="98"/>
      <c r="IJ6" s="98"/>
      <c r="IK6" s="98"/>
      <c r="IL6" s="98"/>
      <c r="IM6" s="98"/>
      <c r="IN6" s="98"/>
      <c r="IO6" s="98"/>
      <c r="IP6" s="98"/>
      <c r="IQ6" s="98"/>
      <c r="IR6" s="98"/>
      <c r="IS6" s="98"/>
      <c r="IT6" s="98"/>
      <c r="IU6" s="98"/>
      <c r="IV6" s="98"/>
    </row>
    <row r="7" spans="1:256" s="9" customFormat="1" ht="18" customHeight="1" x14ac:dyDescent="0.25">
      <c r="A7" s="1018" t="s">
        <v>192</v>
      </c>
      <c r="B7" s="99">
        <v>1</v>
      </c>
      <c r="C7" s="330" t="s">
        <v>200</v>
      </c>
      <c r="D7" s="16">
        <v>3302</v>
      </c>
      <c r="E7" s="33"/>
      <c r="F7" s="33"/>
      <c r="G7" s="33"/>
      <c r="H7" s="100">
        <v>1</v>
      </c>
      <c r="I7" s="33"/>
      <c r="J7" s="100">
        <v>1</v>
      </c>
      <c r="K7" s="101">
        <v>0.15</v>
      </c>
      <c r="L7" s="642">
        <f>ROUND(I7 * K7 * J7,0)</f>
        <v>0</v>
      </c>
      <c r="M7" s="102">
        <v>0.1</v>
      </c>
      <c r="N7" s="642">
        <f>(((E7-F7)+G7)*H7*M7)+((I7-L7)*J7*M7)</f>
        <v>0</v>
      </c>
      <c r="O7" s="642">
        <f>E7-F7+G7+I7-L7-N7</f>
        <v>0</v>
      </c>
      <c r="FE7" s="87"/>
      <c r="FF7" s="87"/>
      <c r="FG7" s="87"/>
      <c r="FH7" s="87"/>
      <c r="FI7" s="87"/>
      <c r="FJ7" s="87"/>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87"/>
      <c r="GZ7" s="87"/>
      <c r="HA7" s="87"/>
      <c r="HB7" s="87"/>
      <c r="HC7" s="87"/>
      <c r="HD7" s="87"/>
      <c r="HE7" s="87"/>
      <c r="HF7" s="87"/>
      <c r="HG7" s="87"/>
      <c r="HH7" s="87"/>
      <c r="HI7" s="87"/>
      <c r="HJ7" s="87"/>
      <c r="HK7" s="87"/>
      <c r="HL7" s="87"/>
      <c r="HM7" s="87"/>
      <c r="HN7" s="87"/>
      <c r="HO7" s="87"/>
      <c r="HP7" s="87"/>
      <c r="HQ7" s="87"/>
      <c r="HR7" s="87"/>
      <c r="HS7" s="87"/>
      <c r="HT7" s="87"/>
      <c r="HU7" s="87"/>
      <c r="HV7" s="87"/>
      <c r="HW7" s="87"/>
      <c r="HX7" s="87"/>
      <c r="HY7" s="87"/>
      <c r="HZ7" s="87"/>
      <c r="IA7" s="87"/>
      <c r="IB7" s="87"/>
      <c r="IC7" s="87"/>
      <c r="ID7" s="87"/>
      <c r="IE7" s="87"/>
      <c r="IF7" s="87"/>
      <c r="IG7" s="87"/>
      <c r="IH7" s="87"/>
      <c r="II7" s="87"/>
      <c r="IJ7" s="87"/>
      <c r="IK7" s="87"/>
      <c r="IL7" s="87"/>
      <c r="IM7" s="87"/>
      <c r="IN7" s="87"/>
      <c r="IO7" s="87"/>
      <c r="IP7" s="87"/>
      <c r="IQ7" s="87"/>
      <c r="IR7" s="87"/>
      <c r="IS7" s="87"/>
      <c r="IT7" s="87"/>
      <c r="IU7" s="87"/>
      <c r="IV7" s="87"/>
    </row>
    <row r="8" spans="1:256" ht="18" customHeight="1" x14ac:dyDescent="0.25">
      <c r="A8" s="1018"/>
      <c r="B8" s="334">
        <f t="shared" ref="B8" si="0">+B7+1</f>
        <v>2</v>
      </c>
      <c r="C8" s="330" t="s">
        <v>201</v>
      </c>
      <c r="D8" s="16">
        <v>330204</v>
      </c>
      <c r="E8" s="33"/>
      <c r="F8" s="33"/>
      <c r="G8" s="33"/>
      <c r="H8" s="100">
        <v>1</v>
      </c>
      <c r="I8" s="33"/>
      <c r="J8" s="100">
        <v>1</v>
      </c>
      <c r="K8" s="103">
        <v>1</v>
      </c>
      <c r="L8" s="642">
        <f t="shared" ref="L8:L18" si="1">ROUND(I8 * K8 * J8,0)</f>
        <v>0</v>
      </c>
      <c r="M8" s="103">
        <v>1</v>
      </c>
      <c r="N8" s="642">
        <f t="shared" ref="N8:N18" si="2">(((E8-F8)+G8)*H8*M8)+((I8-L8)*J8*M8)</f>
        <v>0</v>
      </c>
      <c r="O8" s="642">
        <f t="shared" ref="O8:O18" si="3">E8-F8+G8+I8-L8-N8</f>
        <v>0</v>
      </c>
      <c r="FE8" s="104"/>
      <c r="FF8" s="104"/>
      <c r="FG8" s="104"/>
      <c r="FH8" s="104"/>
      <c r="FI8" s="104"/>
      <c r="FJ8" s="104"/>
      <c r="FK8" s="104"/>
      <c r="FL8" s="104"/>
      <c r="FM8" s="104"/>
      <c r="FN8" s="104"/>
      <c r="FO8" s="104"/>
      <c r="FP8" s="104"/>
      <c r="FQ8" s="104"/>
      <c r="FR8" s="104"/>
      <c r="FS8" s="104"/>
      <c r="FT8" s="104"/>
      <c r="FU8" s="104"/>
      <c r="FV8" s="104"/>
      <c r="FW8" s="104"/>
      <c r="FX8" s="104"/>
      <c r="FY8" s="104"/>
      <c r="FZ8" s="104"/>
      <c r="GA8" s="104"/>
      <c r="GB8" s="104"/>
      <c r="GC8" s="104"/>
      <c r="GD8" s="104"/>
      <c r="GE8" s="104"/>
      <c r="GF8" s="104"/>
      <c r="GG8" s="104"/>
      <c r="GH8" s="104"/>
      <c r="GI8" s="104"/>
      <c r="GJ8" s="104"/>
      <c r="GK8" s="104"/>
      <c r="GL8" s="104"/>
      <c r="GM8" s="104"/>
      <c r="GN8" s="104"/>
      <c r="GO8" s="104"/>
      <c r="GP8" s="104"/>
      <c r="GQ8" s="104"/>
      <c r="GR8" s="104"/>
      <c r="GS8" s="104"/>
      <c r="GT8" s="104"/>
      <c r="GU8" s="104"/>
      <c r="GV8" s="104"/>
      <c r="GW8" s="104"/>
      <c r="GX8" s="104"/>
      <c r="GY8" s="104"/>
      <c r="GZ8" s="104"/>
      <c r="HA8" s="104"/>
      <c r="HB8" s="104"/>
      <c r="HC8" s="104"/>
      <c r="HD8" s="104"/>
      <c r="HE8" s="104"/>
      <c r="HF8" s="104"/>
      <c r="HG8" s="104"/>
      <c r="HH8" s="104"/>
      <c r="HI8" s="104"/>
      <c r="HJ8" s="104"/>
      <c r="HK8" s="104"/>
      <c r="HL8" s="104"/>
      <c r="HM8" s="104"/>
      <c r="HN8" s="104"/>
      <c r="HO8" s="104"/>
      <c r="HP8" s="104"/>
      <c r="HQ8" s="104"/>
      <c r="HR8" s="104"/>
      <c r="HS8" s="104"/>
      <c r="HT8" s="104"/>
      <c r="HU8" s="104"/>
      <c r="HV8" s="104"/>
      <c r="HW8" s="104"/>
      <c r="HX8" s="104"/>
      <c r="HY8" s="104"/>
      <c r="HZ8" s="104"/>
      <c r="IA8" s="104"/>
      <c r="IB8" s="104"/>
      <c r="IC8" s="104"/>
      <c r="ID8" s="104"/>
      <c r="IE8" s="104"/>
      <c r="IF8" s="104"/>
      <c r="IG8" s="104"/>
      <c r="IH8" s="104"/>
      <c r="II8" s="104"/>
      <c r="IJ8" s="104"/>
      <c r="IK8" s="104"/>
      <c r="IL8" s="104"/>
      <c r="IM8" s="104"/>
      <c r="IN8" s="104"/>
      <c r="IO8" s="104"/>
      <c r="IP8" s="104"/>
      <c r="IQ8" s="104"/>
      <c r="IR8" s="104"/>
      <c r="IS8" s="104"/>
      <c r="IT8" s="104"/>
      <c r="IU8" s="104"/>
      <c r="IV8" s="104"/>
    </row>
    <row r="9" spans="1:256" s="9" customFormat="1" ht="24" customHeight="1" x14ac:dyDescent="0.25">
      <c r="A9" s="1018"/>
      <c r="B9" s="334">
        <f t="shared" ref="B9:B19" si="4">+B8+1</f>
        <v>3</v>
      </c>
      <c r="C9" s="330" t="s">
        <v>202</v>
      </c>
      <c r="D9" s="16">
        <v>330301</v>
      </c>
      <c r="E9" s="33"/>
      <c r="F9" s="33"/>
      <c r="G9" s="33"/>
      <c r="H9" s="100">
        <v>1</v>
      </c>
      <c r="I9" s="33"/>
      <c r="J9" s="100">
        <v>1</v>
      </c>
      <c r="K9" s="102">
        <v>0.25</v>
      </c>
      <c r="L9" s="642">
        <f t="shared" si="1"/>
        <v>0</v>
      </c>
      <c r="M9" s="102">
        <v>0.15</v>
      </c>
      <c r="N9" s="642">
        <f t="shared" si="2"/>
        <v>0</v>
      </c>
      <c r="O9" s="642">
        <f t="shared" si="3"/>
        <v>0</v>
      </c>
      <c r="FE9" s="87"/>
      <c r="FF9" s="87"/>
      <c r="FG9" s="87"/>
      <c r="FH9" s="87"/>
      <c r="FI9" s="87"/>
      <c r="FJ9" s="87"/>
      <c r="FK9" s="87"/>
      <c r="FL9" s="87"/>
      <c r="FM9" s="87"/>
      <c r="FN9" s="87"/>
      <c r="FO9" s="87"/>
      <c r="FP9" s="87"/>
      <c r="FQ9" s="87"/>
      <c r="FR9" s="87"/>
      <c r="FS9" s="87"/>
      <c r="FT9" s="87"/>
      <c r="FU9" s="87"/>
      <c r="FV9" s="87"/>
      <c r="FW9" s="87"/>
      <c r="FX9" s="87"/>
      <c r="FY9" s="87"/>
      <c r="FZ9" s="87"/>
      <c r="GA9" s="87"/>
      <c r="GB9" s="87"/>
      <c r="GC9" s="87"/>
      <c r="GD9" s="87"/>
      <c r="GE9" s="87"/>
      <c r="GF9" s="87"/>
      <c r="GG9" s="87"/>
      <c r="GH9" s="87"/>
      <c r="GI9" s="87"/>
      <c r="GJ9" s="87"/>
      <c r="GK9" s="87"/>
      <c r="GL9" s="87"/>
      <c r="GM9" s="87"/>
      <c r="GN9" s="87"/>
      <c r="GO9" s="87"/>
      <c r="GP9" s="87"/>
      <c r="GQ9" s="87"/>
      <c r="GR9" s="87"/>
      <c r="GS9" s="87"/>
      <c r="GT9" s="87"/>
      <c r="GU9" s="87"/>
      <c r="GV9" s="87"/>
      <c r="GW9" s="87"/>
      <c r="GX9" s="87"/>
      <c r="GY9" s="87"/>
      <c r="GZ9" s="87"/>
      <c r="HA9" s="87"/>
      <c r="HB9" s="87"/>
      <c r="HC9" s="87"/>
      <c r="HD9" s="87"/>
      <c r="HE9" s="87"/>
      <c r="HF9" s="87"/>
      <c r="HG9" s="87"/>
      <c r="HH9" s="87"/>
      <c r="HI9" s="87"/>
      <c r="HJ9" s="87"/>
      <c r="HK9" s="87"/>
      <c r="HL9" s="87"/>
      <c r="HM9" s="87"/>
      <c r="HN9" s="87"/>
      <c r="HO9" s="87"/>
      <c r="HP9" s="87"/>
      <c r="HQ9" s="87"/>
      <c r="HR9" s="87"/>
      <c r="HS9" s="87"/>
      <c r="HT9" s="87"/>
      <c r="HU9" s="87"/>
      <c r="HV9" s="87"/>
      <c r="HW9" s="87"/>
      <c r="HX9" s="87"/>
      <c r="HY9" s="87"/>
      <c r="HZ9" s="87"/>
      <c r="IA9" s="87"/>
      <c r="IB9" s="87"/>
      <c r="IC9" s="87"/>
      <c r="ID9" s="87"/>
      <c r="IE9" s="87"/>
      <c r="IF9" s="87"/>
      <c r="IG9" s="87"/>
      <c r="IH9" s="87"/>
      <c r="II9" s="87"/>
      <c r="IJ9" s="87"/>
      <c r="IK9" s="87"/>
      <c r="IL9" s="87"/>
      <c r="IM9" s="87"/>
      <c r="IN9" s="87"/>
      <c r="IO9" s="87"/>
      <c r="IP9" s="87"/>
      <c r="IQ9" s="87"/>
      <c r="IR9" s="87"/>
      <c r="IS9" s="87"/>
      <c r="IT9" s="87"/>
      <c r="IU9" s="87"/>
      <c r="IV9" s="87"/>
    </row>
    <row r="10" spans="1:256" s="9" customFormat="1" ht="26.4" x14ac:dyDescent="0.25">
      <c r="A10" s="1018"/>
      <c r="B10" s="334">
        <f t="shared" si="4"/>
        <v>4</v>
      </c>
      <c r="C10" s="330" t="s">
        <v>203</v>
      </c>
      <c r="D10" s="16">
        <v>330302</v>
      </c>
      <c r="E10" s="33"/>
      <c r="F10" s="33"/>
      <c r="G10" s="33"/>
      <c r="H10" s="100">
        <v>1</v>
      </c>
      <c r="I10" s="33"/>
      <c r="J10" s="100">
        <v>1</v>
      </c>
      <c r="K10" s="102">
        <v>0.25</v>
      </c>
      <c r="L10" s="642">
        <f t="shared" si="1"/>
        <v>0</v>
      </c>
      <c r="M10" s="102">
        <v>0.3</v>
      </c>
      <c r="N10" s="642">
        <f t="shared" si="2"/>
        <v>0</v>
      </c>
      <c r="O10" s="642">
        <f t="shared" si="3"/>
        <v>0</v>
      </c>
      <c r="FE10" s="87"/>
      <c r="FF10" s="87"/>
      <c r="FG10" s="87"/>
      <c r="FH10" s="87"/>
      <c r="FI10" s="87"/>
      <c r="FJ10" s="87"/>
      <c r="FK10" s="87"/>
      <c r="FL10" s="87"/>
      <c r="FM10" s="87"/>
      <c r="FN10" s="87"/>
      <c r="FO10" s="87"/>
      <c r="FP10" s="87"/>
      <c r="FQ10" s="87"/>
      <c r="FR10" s="87"/>
      <c r="FS10" s="87"/>
      <c r="FT10" s="87"/>
      <c r="FU10" s="87"/>
      <c r="FV10" s="87"/>
      <c r="FW10" s="87"/>
      <c r="FX10" s="87"/>
      <c r="FY10" s="87"/>
      <c r="FZ10" s="87"/>
      <c r="GA10" s="87"/>
      <c r="GB10" s="87"/>
      <c r="GC10" s="87"/>
      <c r="GD10" s="87"/>
      <c r="GE10" s="87"/>
      <c r="GF10" s="87"/>
      <c r="GG10" s="87"/>
      <c r="GH10" s="87"/>
      <c r="GI10" s="87"/>
      <c r="GJ10" s="87"/>
      <c r="GK10" s="87"/>
      <c r="GL10" s="87"/>
      <c r="GM10" s="87"/>
      <c r="GN10" s="87"/>
      <c r="GO10" s="87"/>
      <c r="GP10" s="87"/>
      <c r="GQ10" s="87"/>
      <c r="GR10" s="87"/>
      <c r="GS10" s="87"/>
      <c r="GT10" s="87"/>
      <c r="GU10" s="87"/>
      <c r="GV10" s="87"/>
      <c r="GW10" s="87"/>
      <c r="GX10" s="87"/>
      <c r="GY10" s="87"/>
      <c r="GZ10" s="87"/>
      <c r="HA10" s="87"/>
      <c r="HB10" s="87"/>
      <c r="HC10" s="87"/>
      <c r="HD10" s="87"/>
      <c r="HE10" s="87"/>
      <c r="HF10" s="87"/>
      <c r="HG10" s="87"/>
      <c r="HH10" s="87"/>
      <c r="HI10" s="87"/>
      <c r="HJ10" s="87"/>
      <c r="HK10" s="87"/>
      <c r="HL10" s="87"/>
      <c r="HM10" s="87"/>
      <c r="HN10" s="87"/>
      <c r="HO10" s="87"/>
      <c r="HP10" s="87"/>
      <c r="HQ10" s="87"/>
      <c r="HR10" s="87"/>
      <c r="HS10" s="87"/>
      <c r="HT10" s="87"/>
      <c r="HU10" s="87"/>
      <c r="HV10" s="87"/>
      <c r="HW10" s="87"/>
      <c r="HX10" s="87"/>
      <c r="HY10" s="87"/>
      <c r="HZ10" s="87"/>
      <c r="IA10" s="87"/>
      <c r="IB10" s="87"/>
      <c r="IC10" s="87"/>
      <c r="ID10" s="87"/>
      <c r="IE10" s="87"/>
      <c r="IF10" s="87"/>
      <c r="IG10" s="87"/>
      <c r="IH10" s="87"/>
      <c r="II10" s="87"/>
      <c r="IJ10" s="87"/>
      <c r="IK10" s="87"/>
      <c r="IL10" s="87"/>
      <c r="IM10" s="87"/>
      <c r="IN10" s="87"/>
      <c r="IO10" s="87"/>
      <c r="IP10" s="87"/>
      <c r="IQ10" s="87"/>
      <c r="IR10" s="87"/>
      <c r="IS10" s="87"/>
      <c r="IT10" s="87"/>
      <c r="IU10" s="87"/>
      <c r="IV10" s="87"/>
    </row>
    <row r="11" spans="1:256" s="9" customFormat="1" ht="18" customHeight="1" x14ac:dyDescent="0.25">
      <c r="A11" s="1018"/>
      <c r="B11" s="334">
        <f t="shared" si="4"/>
        <v>5</v>
      </c>
      <c r="C11" s="330" t="s">
        <v>204</v>
      </c>
      <c r="D11" s="16">
        <v>330303</v>
      </c>
      <c r="E11" s="33"/>
      <c r="F11" s="33"/>
      <c r="G11" s="33"/>
      <c r="H11" s="100">
        <v>1</v>
      </c>
      <c r="I11" s="33"/>
      <c r="J11" s="100">
        <v>1</v>
      </c>
      <c r="K11" s="102">
        <v>0</v>
      </c>
      <c r="L11" s="642">
        <f t="shared" si="1"/>
        <v>0</v>
      </c>
      <c r="M11" s="102">
        <v>0.15</v>
      </c>
      <c r="N11" s="642">
        <f t="shared" si="2"/>
        <v>0</v>
      </c>
      <c r="O11" s="642">
        <f t="shared" si="3"/>
        <v>0</v>
      </c>
      <c r="FE11" s="87"/>
      <c r="FF11" s="87"/>
      <c r="FG11" s="87"/>
      <c r="FH11" s="87"/>
      <c r="FI11" s="87"/>
      <c r="FJ11" s="87"/>
      <c r="FK11" s="87"/>
      <c r="FL11" s="87"/>
      <c r="FM11" s="87"/>
      <c r="FN11" s="87"/>
      <c r="FO11" s="87"/>
      <c r="FP11" s="87"/>
      <c r="FQ11" s="87"/>
      <c r="FR11" s="87"/>
      <c r="FS11" s="87"/>
      <c r="FT11" s="87"/>
      <c r="FU11" s="87"/>
      <c r="FV11" s="87"/>
      <c r="FW11" s="87"/>
      <c r="FX11" s="87"/>
      <c r="FY11" s="87"/>
      <c r="FZ11" s="87"/>
      <c r="GA11" s="87"/>
      <c r="GB11" s="87"/>
      <c r="GC11" s="87"/>
      <c r="GD11" s="87"/>
      <c r="GE11" s="87"/>
      <c r="GF11" s="87"/>
      <c r="GG11" s="87"/>
      <c r="GH11" s="87"/>
      <c r="GI11" s="87"/>
      <c r="GJ11" s="87"/>
      <c r="GK11" s="87"/>
      <c r="GL11" s="87"/>
      <c r="GM11" s="87"/>
      <c r="GN11" s="87"/>
      <c r="GO11" s="87"/>
      <c r="GP11" s="87"/>
      <c r="GQ11" s="87"/>
      <c r="GR11" s="87"/>
      <c r="GS11" s="87"/>
      <c r="GT11" s="87"/>
      <c r="GU11" s="87"/>
      <c r="GV11" s="87"/>
      <c r="GW11" s="87"/>
      <c r="GX11" s="87"/>
      <c r="GY11" s="87"/>
      <c r="GZ11" s="87"/>
      <c r="HA11" s="87"/>
      <c r="HB11" s="87"/>
      <c r="HC11" s="87"/>
      <c r="HD11" s="87"/>
      <c r="HE11" s="87"/>
      <c r="HF11" s="87"/>
      <c r="HG11" s="87"/>
      <c r="HH11" s="87"/>
      <c r="HI11" s="87"/>
      <c r="HJ11" s="87"/>
      <c r="HK11" s="87"/>
      <c r="HL11" s="87"/>
      <c r="HM11" s="87"/>
      <c r="HN11" s="87"/>
      <c r="HO11" s="87"/>
      <c r="HP11" s="87"/>
      <c r="HQ11" s="87"/>
      <c r="HR11" s="87"/>
      <c r="HS11" s="87"/>
      <c r="HT11" s="87"/>
      <c r="HU11" s="87"/>
      <c r="HV11" s="87"/>
      <c r="HW11" s="87"/>
      <c r="HX11" s="87"/>
      <c r="HY11" s="87"/>
      <c r="HZ11" s="87"/>
      <c r="IA11" s="87"/>
      <c r="IB11" s="87"/>
      <c r="IC11" s="87"/>
      <c r="ID11" s="87"/>
      <c r="IE11" s="87"/>
      <c r="IF11" s="87"/>
      <c r="IG11" s="87"/>
      <c r="IH11" s="87"/>
      <c r="II11" s="87"/>
      <c r="IJ11" s="87"/>
      <c r="IK11" s="87"/>
      <c r="IL11" s="87"/>
      <c r="IM11" s="87"/>
      <c r="IN11" s="87"/>
      <c r="IO11" s="87"/>
      <c r="IP11" s="87"/>
      <c r="IQ11" s="87"/>
      <c r="IR11" s="87"/>
      <c r="IS11" s="87"/>
      <c r="IT11" s="87"/>
      <c r="IU11" s="87"/>
      <c r="IV11" s="87"/>
    </row>
    <row r="12" spans="1:256" s="9" customFormat="1" ht="18" customHeight="1" x14ac:dyDescent="0.25">
      <c r="A12" s="1018"/>
      <c r="B12" s="334">
        <f t="shared" si="4"/>
        <v>6</v>
      </c>
      <c r="C12" s="330" t="s">
        <v>205</v>
      </c>
      <c r="D12" s="16">
        <v>330304</v>
      </c>
      <c r="E12" s="33"/>
      <c r="F12" s="33"/>
      <c r="G12" s="33"/>
      <c r="H12" s="100">
        <v>1</v>
      </c>
      <c r="I12" s="33"/>
      <c r="J12" s="100">
        <v>1</v>
      </c>
      <c r="K12" s="102">
        <v>0.25</v>
      </c>
      <c r="L12" s="642">
        <f t="shared" si="1"/>
        <v>0</v>
      </c>
      <c r="M12" s="102">
        <v>0.15</v>
      </c>
      <c r="N12" s="642">
        <f t="shared" si="2"/>
        <v>0</v>
      </c>
      <c r="O12" s="642">
        <f t="shared" si="3"/>
        <v>0</v>
      </c>
      <c r="FE12" s="87"/>
      <c r="FF12" s="87"/>
      <c r="FG12" s="87"/>
      <c r="FH12" s="87"/>
      <c r="FI12" s="87"/>
      <c r="FJ12" s="87"/>
      <c r="FK12" s="87"/>
      <c r="FL12" s="87"/>
      <c r="FM12" s="87"/>
      <c r="FN12" s="87"/>
      <c r="FO12" s="87"/>
      <c r="FP12" s="87"/>
      <c r="FQ12" s="87"/>
      <c r="FR12" s="87"/>
      <c r="FS12" s="87"/>
      <c r="FT12" s="87"/>
      <c r="FU12" s="87"/>
      <c r="FV12" s="87"/>
      <c r="FW12" s="87"/>
      <c r="FX12" s="87"/>
      <c r="FY12" s="87"/>
      <c r="FZ12" s="87"/>
      <c r="GA12" s="87"/>
      <c r="GB12" s="87"/>
      <c r="GC12" s="87"/>
      <c r="GD12" s="87"/>
      <c r="GE12" s="87"/>
      <c r="GF12" s="87"/>
      <c r="GG12" s="87"/>
      <c r="GH12" s="87"/>
      <c r="GI12" s="87"/>
      <c r="GJ12" s="87"/>
      <c r="GK12" s="87"/>
      <c r="GL12" s="87"/>
      <c r="GM12" s="87"/>
      <c r="GN12" s="87"/>
      <c r="GO12" s="87"/>
      <c r="GP12" s="87"/>
      <c r="GQ12" s="87"/>
      <c r="GR12" s="87"/>
      <c r="GS12" s="87"/>
      <c r="GT12" s="87"/>
      <c r="GU12" s="87"/>
      <c r="GV12" s="87"/>
      <c r="GW12" s="87"/>
      <c r="GX12" s="87"/>
      <c r="GY12" s="87"/>
      <c r="GZ12" s="87"/>
      <c r="HA12" s="87"/>
      <c r="HB12" s="87"/>
      <c r="HC12" s="87"/>
      <c r="HD12" s="87"/>
      <c r="HE12" s="87"/>
      <c r="HF12" s="87"/>
      <c r="HG12" s="87"/>
      <c r="HH12" s="87"/>
      <c r="HI12" s="87"/>
      <c r="HJ12" s="87"/>
      <c r="HK12" s="87"/>
      <c r="HL12" s="87"/>
      <c r="HM12" s="87"/>
      <c r="HN12" s="87"/>
      <c r="HO12" s="87"/>
      <c r="HP12" s="87"/>
      <c r="HQ12" s="87"/>
      <c r="HR12" s="87"/>
      <c r="HS12" s="87"/>
      <c r="HT12" s="87"/>
      <c r="HU12" s="87"/>
      <c r="HV12" s="87"/>
      <c r="HW12" s="87"/>
      <c r="HX12" s="87"/>
      <c r="HY12" s="87"/>
      <c r="HZ12" s="87"/>
      <c r="IA12" s="87"/>
      <c r="IB12" s="87"/>
      <c r="IC12" s="87"/>
      <c r="ID12" s="87"/>
      <c r="IE12" s="87"/>
      <c r="IF12" s="87"/>
      <c r="IG12" s="87"/>
      <c r="IH12" s="87"/>
      <c r="II12" s="87"/>
      <c r="IJ12" s="87"/>
      <c r="IK12" s="87"/>
      <c r="IL12" s="87"/>
      <c r="IM12" s="87"/>
      <c r="IN12" s="87"/>
      <c r="IO12" s="87"/>
      <c r="IP12" s="87"/>
      <c r="IQ12" s="87"/>
      <c r="IR12" s="87"/>
      <c r="IS12" s="87"/>
      <c r="IT12" s="87"/>
      <c r="IU12" s="87"/>
      <c r="IV12" s="87"/>
    </row>
    <row r="13" spans="1:256" s="9" customFormat="1" ht="24" customHeight="1" x14ac:dyDescent="0.25">
      <c r="A13" s="1018"/>
      <c r="B13" s="334">
        <f t="shared" si="4"/>
        <v>7</v>
      </c>
      <c r="C13" s="330" t="s">
        <v>206</v>
      </c>
      <c r="D13" s="16">
        <v>330306</v>
      </c>
      <c r="E13" s="33"/>
      <c r="F13" s="33"/>
      <c r="G13" s="33"/>
      <c r="H13" s="100">
        <v>1</v>
      </c>
      <c r="I13" s="33"/>
      <c r="J13" s="100">
        <v>1</v>
      </c>
      <c r="K13" s="102">
        <v>0.25</v>
      </c>
      <c r="L13" s="642">
        <f t="shared" si="1"/>
        <v>0</v>
      </c>
      <c r="M13" s="102">
        <v>0.2</v>
      </c>
      <c r="N13" s="642">
        <f t="shared" si="2"/>
        <v>0</v>
      </c>
      <c r="O13" s="642">
        <f t="shared" si="3"/>
        <v>0</v>
      </c>
      <c r="FE13" s="87"/>
      <c r="FF13" s="87"/>
      <c r="FG13" s="87"/>
      <c r="FH13" s="87"/>
      <c r="FI13" s="87"/>
      <c r="FJ13" s="87"/>
      <c r="FK13" s="87"/>
      <c r="FL13" s="87"/>
      <c r="FM13" s="87"/>
      <c r="FN13" s="87"/>
      <c r="FO13" s="87"/>
      <c r="FP13" s="87"/>
      <c r="FQ13" s="87"/>
      <c r="FR13" s="87"/>
      <c r="FS13" s="87"/>
      <c r="FT13" s="87"/>
      <c r="FU13" s="87"/>
      <c r="FV13" s="87"/>
      <c r="FW13" s="87"/>
      <c r="FX13" s="87"/>
      <c r="FY13" s="87"/>
      <c r="FZ13" s="87"/>
      <c r="GA13" s="87"/>
      <c r="GB13" s="87"/>
      <c r="GC13" s="87"/>
      <c r="GD13" s="87"/>
      <c r="GE13" s="87"/>
      <c r="GF13" s="87"/>
      <c r="GG13" s="87"/>
      <c r="GH13" s="87"/>
      <c r="GI13" s="87"/>
      <c r="GJ13" s="87"/>
      <c r="GK13" s="87"/>
      <c r="GL13" s="87"/>
      <c r="GM13" s="87"/>
      <c r="GN13" s="87"/>
      <c r="GO13" s="87"/>
      <c r="GP13" s="87"/>
      <c r="GQ13" s="87"/>
      <c r="GR13" s="87"/>
      <c r="GS13" s="87"/>
      <c r="GT13" s="87"/>
      <c r="GU13" s="87"/>
      <c r="GV13" s="87"/>
      <c r="GW13" s="87"/>
      <c r="GX13" s="87"/>
      <c r="GY13" s="87"/>
      <c r="GZ13" s="87"/>
      <c r="HA13" s="87"/>
      <c r="HB13" s="87"/>
      <c r="HC13" s="87"/>
      <c r="HD13" s="87"/>
      <c r="HE13" s="87"/>
      <c r="HF13" s="87"/>
      <c r="HG13" s="87"/>
      <c r="HH13" s="87"/>
      <c r="HI13" s="87"/>
      <c r="HJ13" s="87"/>
      <c r="HK13" s="87"/>
      <c r="HL13" s="87"/>
      <c r="HM13" s="87"/>
      <c r="HN13" s="87"/>
      <c r="HO13" s="87"/>
      <c r="HP13" s="87"/>
      <c r="HQ13" s="87"/>
      <c r="HR13" s="87"/>
      <c r="HS13" s="87"/>
      <c r="HT13" s="87"/>
      <c r="HU13" s="87"/>
      <c r="HV13" s="87"/>
      <c r="HW13" s="87"/>
      <c r="HX13" s="87"/>
      <c r="HY13" s="87"/>
      <c r="HZ13" s="87"/>
      <c r="IA13" s="87"/>
      <c r="IB13" s="87"/>
      <c r="IC13" s="87"/>
      <c r="ID13" s="87"/>
      <c r="IE13" s="87"/>
      <c r="IF13" s="87"/>
      <c r="IG13" s="87"/>
      <c r="IH13" s="87"/>
      <c r="II13" s="87"/>
      <c r="IJ13" s="87"/>
      <c r="IK13" s="87"/>
      <c r="IL13" s="87"/>
      <c r="IM13" s="87"/>
      <c r="IN13" s="87"/>
      <c r="IO13" s="87"/>
      <c r="IP13" s="87"/>
      <c r="IQ13" s="87"/>
      <c r="IR13" s="87"/>
      <c r="IS13" s="87"/>
      <c r="IT13" s="87"/>
      <c r="IU13" s="87"/>
      <c r="IV13" s="87"/>
    </row>
    <row r="14" spans="1:256" ht="26.4" x14ac:dyDescent="0.25">
      <c r="A14" s="1018"/>
      <c r="B14" s="334">
        <f t="shared" si="4"/>
        <v>8</v>
      </c>
      <c r="C14" s="330" t="s">
        <v>207</v>
      </c>
      <c r="D14" s="16">
        <v>330308</v>
      </c>
      <c r="E14" s="33"/>
      <c r="F14" s="33"/>
      <c r="G14" s="33"/>
      <c r="H14" s="100">
        <v>1</v>
      </c>
      <c r="I14" s="33"/>
      <c r="J14" s="100">
        <v>1</v>
      </c>
      <c r="K14" s="103">
        <v>0.9</v>
      </c>
      <c r="L14" s="642">
        <f t="shared" si="1"/>
        <v>0</v>
      </c>
      <c r="M14" s="103">
        <v>0.15</v>
      </c>
      <c r="N14" s="642">
        <f t="shared" si="2"/>
        <v>0</v>
      </c>
      <c r="O14" s="642">
        <f t="shared" si="3"/>
        <v>0</v>
      </c>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row>
    <row r="15" spans="1:256" s="9" customFormat="1" ht="18" customHeight="1" x14ac:dyDescent="0.25">
      <c r="A15" s="1018"/>
      <c r="B15" s="334">
        <f t="shared" si="4"/>
        <v>9</v>
      </c>
      <c r="C15" s="330" t="s">
        <v>208</v>
      </c>
      <c r="D15" s="16">
        <v>33041</v>
      </c>
      <c r="E15" s="33"/>
      <c r="F15" s="33"/>
      <c r="G15" s="33"/>
      <c r="H15" s="100">
        <v>1</v>
      </c>
      <c r="I15" s="33"/>
      <c r="J15" s="100">
        <v>1</v>
      </c>
      <c r="K15" s="102">
        <v>0</v>
      </c>
      <c r="L15" s="642">
        <f t="shared" si="1"/>
        <v>0</v>
      </c>
      <c r="M15" s="102">
        <v>0.15</v>
      </c>
      <c r="N15" s="642">
        <f t="shared" si="2"/>
        <v>0</v>
      </c>
      <c r="O15" s="642">
        <f t="shared" si="3"/>
        <v>0</v>
      </c>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87"/>
      <c r="IG15" s="87"/>
      <c r="IH15" s="87"/>
      <c r="II15" s="87"/>
      <c r="IJ15" s="87"/>
      <c r="IK15" s="87"/>
      <c r="IL15" s="87"/>
      <c r="IM15" s="87"/>
      <c r="IN15" s="87"/>
      <c r="IO15" s="87"/>
      <c r="IP15" s="87"/>
      <c r="IQ15" s="87"/>
      <c r="IR15" s="87"/>
      <c r="IS15" s="87"/>
      <c r="IT15" s="87"/>
      <c r="IU15" s="87"/>
      <c r="IV15" s="87"/>
    </row>
    <row r="16" spans="1:256" s="9" customFormat="1" ht="18" customHeight="1" x14ac:dyDescent="0.25">
      <c r="A16" s="1018"/>
      <c r="B16" s="334">
        <f t="shared" si="4"/>
        <v>10</v>
      </c>
      <c r="C16" s="330" t="s">
        <v>209</v>
      </c>
      <c r="D16" s="16">
        <v>33042</v>
      </c>
      <c r="E16" s="33"/>
      <c r="F16" s="33"/>
      <c r="G16" s="33"/>
      <c r="H16" s="100">
        <v>1</v>
      </c>
      <c r="I16" s="33"/>
      <c r="J16" s="100">
        <v>1</v>
      </c>
      <c r="K16" s="102">
        <v>0.25</v>
      </c>
      <c r="L16" s="642">
        <f t="shared" si="1"/>
        <v>0</v>
      </c>
      <c r="M16" s="102">
        <v>0.15</v>
      </c>
      <c r="N16" s="642">
        <f t="shared" si="2"/>
        <v>0</v>
      </c>
      <c r="O16" s="642">
        <f t="shared" si="3"/>
        <v>0</v>
      </c>
      <c r="FE16" s="87"/>
      <c r="FF16" s="87"/>
      <c r="FG16" s="87"/>
      <c r="FH16" s="87"/>
      <c r="FI16" s="87"/>
      <c r="FJ16" s="87"/>
      <c r="FK16" s="87"/>
      <c r="FL16" s="87"/>
      <c r="FM16" s="87"/>
      <c r="FN16" s="87"/>
      <c r="FO16" s="87"/>
      <c r="FP16" s="87"/>
      <c r="FQ16" s="87"/>
      <c r="FR16" s="87"/>
      <c r="FS16" s="87"/>
      <c r="FT16" s="87"/>
      <c r="FU16" s="87"/>
      <c r="FV16" s="87"/>
      <c r="FW16" s="87"/>
      <c r="FX16" s="87"/>
      <c r="FY16" s="87"/>
      <c r="FZ16" s="87"/>
      <c r="GA16" s="87"/>
      <c r="GB16" s="87"/>
      <c r="GC16" s="87"/>
      <c r="GD16" s="87"/>
      <c r="GE16" s="87"/>
      <c r="GF16" s="87"/>
      <c r="GG16" s="87"/>
      <c r="GH16" s="87"/>
      <c r="GI16" s="87"/>
      <c r="GJ16" s="87"/>
      <c r="GK16" s="87"/>
      <c r="GL16" s="87"/>
      <c r="GM16" s="87"/>
      <c r="GN16" s="87"/>
      <c r="GO16" s="87"/>
      <c r="GP16" s="87"/>
      <c r="GQ16" s="87"/>
      <c r="GR16" s="87"/>
      <c r="GS16" s="87"/>
      <c r="GT16" s="87"/>
      <c r="GU16" s="87"/>
      <c r="GV16" s="87"/>
      <c r="GW16" s="87"/>
      <c r="GX16" s="87"/>
      <c r="GY16" s="87"/>
      <c r="GZ16" s="87"/>
      <c r="HA16" s="87"/>
      <c r="HB16" s="87"/>
      <c r="HC16" s="87"/>
      <c r="HD16" s="87"/>
      <c r="HE16" s="87"/>
      <c r="HF16" s="87"/>
      <c r="HG16" s="87"/>
      <c r="HH16" s="87"/>
      <c r="HI16" s="87"/>
      <c r="HJ16" s="87"/>
      <c r="HK16" s="87"/>
      <c r="HL16" s="87"/>
      <c r="HM16" s="87"/>
      <c r="HN16" s="87"/>
      <c r="HO16" s="87"/>
      <c r="HP16" s="87"/>
      <c r="HQ16" s="87"/>
      <c r="HR16" s="87"/>
      <c r="HS16" s="87"/>
      <c r="HT16" s="87"/>
      <c r="HU16" s="87"/>
      <c r="HV16" s="87"/>
      <c r="HW16" s="87"/>
      <c r="HX16" s="87"/>
      <c r="HY16" s="87"/>
      <c r="HZ16" s="87"/>
      <c r="IA16" s="87"/>
      <c r="IB16" s="87"/>
      <c r="IC16" s="87"/>
      <c r="ID16" s="87"/>
      <c r="IE16" s="87"/>
      <c r="IF16" s="87"/>
      <c r="IG16" s="87"/>
      <c r="IH16" s="87"/>
      <c r="II16" s="87"/>
      <c r="IJ16" s="87"/>
      <c r="IK16" s="87"/>
      <c r="IL16" s="87"/>
      <c r="IM16" s="87"/>
      <c r="IN16" s="87"/>
      <c r="IO16" s="87"/>
      <c r="IP16" s="87"/>
      <c r="IQ16" s="87"/>
      <c r="IR16" s="87"/>
      <c r="IS16" s="87"/>
      <c r="IT16" s="87"/>
      <c r="IU16" s="87"/>
      <c r="IV16" s="87"/>
    </row>
    <row r="17" spans="1:256" ht="18" customHeight="1" x14ac:dyDescent="0.25">
      <c r="A17" s="1018"/>
      <c r="B17" s="334">
        <f t="shared" si="4"/>
        <v>11</v>
      </c>
      <c r="C17" s="330" t="s">
        <v>210</v>
      </c>
      <c r="D17" s="16">
        <v>33043</v>
      </c>
      <c r="E17" s="33"/>
      <c r="F17" s="33"/>
      <c r="G17" s="33"/>
      <c r="H17" s="100">
        <v>1</v>
      </c>
      <c r="I17" s="33"/>
      <c r="J17" s="100">
        <v>1</v>
      </c>
      <c r="K17" s="102">
        <v>0.25</v>
      </c>
      <c r="L17" s="642">
        <f t="shared" si="1"/>
        <v>0</v>
      </c>
      <c r="M17" s="102">
        <v>0.15</v>
      </c>
      <c r="N17" s="642">
        <f t="shared" si="2"/>
        <v>0</v>
      </c>
      <c r="O17" s="642">
        <f t="shared" si="3"/>
        <v>0</v>
      </c>
    </row>
    <row r="18" spans="1:256" ht="18" customHeight="1" x14ac:dyDescent="0.25">
      <c r="A18" s="1018"/>
      <c r="B18" s="334">
        <f t="shared" si="4"/>
        <v>12</v>
      </c>
      <c r="C18" s="330" t="s">
        <v>211</v>
      </c>
      <c r="D18" s="16">
        <v>33044</v>
      </c>
      <c r="E18" s="33"/>
      <c r="F18" s="33"/>
      <c r="G18" s="33"/>
      <c r="H18" s="100">
        <v>1</v>
      </c>
      <c r="I18" s="33"/>
      <c r="J18" s="100">
        <v>1</v>
      </c>
      <c r="K18" s="102">
        <v>0.25</v>
      </c>
      <c r="L18" s="642">
        <f t="shared" si="1"/>
        <v>0</v>
      </c>
      <c r="M18" s="102">
        <v>0.3</v>
      </c>
      <c r="N18" s="642">
        <f t="shared" si="2"/>
        <v>0</v>
      </c>
      <c r="O18" s="642">
        <f t="shared" si="3"/>
        <v>0</v>
      </c>
    </row>
    <row r="19" spans="1:256" s="11" customFormat="1" ht="26.1" customHeight="1" x14ac:dyDescent="0.25">
      <c r="A19" s="1018"/>
      <c r="B19" s="334">
        <f t="shared" si="4"/>
        <v>13</v>
      </c>
      <c r="C19" s="331" t="s">
        <v>379</v>
      </c>
      <c r="D19" s="83">
        <v>3248</v>
      </c>
      <c r="E19" s="24"/>
      <c r="F19" s="24"/>
      <c r="G19" s="24"/>
      <c r="H19" s="81"/>
      <c r="I19" s="24"/>
      <c r="J19" s="81"/>
      <c r="K19" s="81" t="s">
        <v>212</v>
      </c>
      <c r="L19" s="642">
        <f>SUM(L7:L18)</f>
        <v>0</v>
      </c>
      <c r="M19" s="81" t="s">
        <v>212</v>
      </c>
      <c r="N19" s="642">
        <f>SUM(N7:N18)</f>
        <v>0</v>
      </c>
      <c r="O19" s="642">
        <f>SUM(O7:O18)</f>
        <v>0</v>
      </c>
      <c r="FE19" s="105"/>
      <c r="FF19" s="105"/>
      <c r="FG19" s="105"/>
      <c r="FH19" s="105"/>
      <c r="FI19" s="105"/>
      <c r="FJ19" s="105"/>
      <c r="FK19" s="105"/>
      <c r="FL19" s="105"/>
      <c r="FM19" s="105"/>
      <c r="FN19" s="105"/>
      <c r="FO19" s="105"/>
      <c r="FP19" s="105"/>
      <c r="FQ19" s="105"/>
      <c r="FR19" s="105"/>
      <c r="FS19" s="105"/>
      <c r="FT19" s="105"/>
      <c r="FU19" s="105"/>
      <c r="FV19" s="105"/>
      <c r="FW19" s="105"/>
      <c r="FX19" s="105"/>
      <c r="FY19" s="105"/>
      <c r="FZ19" s="105"/>
      <c r="GA19" s="105"/>
      <c r="GB19" s="105"/>
      <c r="GC19" s="105"/>
      <c r="GD19" s="105"/>
      <c r="GE19" s="105"/>
      <c r="GF19" s="105"/>
      <c r="GG19" s="105"/>
      <c r="GH19" s="105"/>
      <c r="GI19" s="105"/>
      <c r="GJ19" s="105"/>
      <c r="GK19" s="105"/>
      <c r="GL19" s="105"/>
      <c r="GM19" s="105"/>
      <c r="GN19" s="105"/>
      <c r="GO19" s="105"/>
      <c r="GP19" s="105"/>
      <c r="GQ19" s="105"/>
      <c r="GR19" s="105"/>
      <c r="GS19" s="105"/>
      <c r="GT19" s="105"/>
      <c r="GU19" s="105"/>
      <c r="GV19" s="105"/>
      <c r="GW19" s="105"/>
      <c r="GX19" s="105"/>
      <c r="GY19" s="105"/>
      <c r="GZ19" s="105"/>
      <c r="HA19" s="105"/>
      <c r="HB19" s="105"/>
      <c r="HC19" s="105"/>
      <c r="HD19" s="105"/>
      <c r="HE19" s="105"/>
      <c r="HF19" s="105"/>
      <c r="HG19" s="105"/>
      <c r="HH19" s="105"/>
      <c r="HI19" s="105"/>
      <c r="HJ19" s="105"/>
      <c r="HK19" s="105"/>
      <c r="HL19" s="105"/>
      <c r="HM19" s="105"/>
      <c r="HN19" s="105"/>
      <c r="HO19" s="105"/>
      <c r="HP19" s="105"/>
      <c r="HQ19" s="105"/>
      <c r="HR19" s="105"/>
      <c r="HS19" s="105"/>
      <c r="HT19" s="105"/>
      <c r="HU19" s="105"/>
      <c r="HV19" s="105"/>
      <c r="HW19" s="105"/>
      <c r="HX19" s="105"/>
      <c r="HY19" s="105"/>
      <c r="HZ19" s="105"/>
      <c r="IA19" s="105"/>
      <c r="IB19" s="105"/>
      <c r="IC19" s="105"/>
      <c r="ID19" s="105"/>
      <c r="IE19" s="105"/>
      <c r="IF19" s="105"/>
      <c r="IG19" s="105"/>
      <c r="IH19" s="105"/>
      <c r="II19" s="105"/>
      <c r="IJ19" s="105"/>
      <c r="IK19" s="105"/>
      <c r="IL19" s="105"/>
      <c r="IM19" s="105"/>
      <c r="IN19" s="105"/>
      <c r="IO19" s="105"/>
      <c r="IP19" s="105"/>
      <c r="IQ19" s="105"/>
      <c r="IR19" s="105"/>
      <c r="IS19" s="105"/>
      <c r="IT19" s="105"/>
      <c r="IU19" s="105"/>
      <c r="IV19" s="105"/>
    </row>
    <row r="20" spans="1:256" ht="38.25" customHeight="1" x14ac:dyDescent="0.25">
      <c r="A20" s="1018" t="s">
        <v>213</v>
      </c>
      <c r="B20" s="99"/>
      <c r="C20" s="106" t="s">
        <v>43</v>
      </c>
      <c r="D20" s="107" t="s">
        <v>44</v>
      </c>
      <c r="E20" s="108" t="s">
        <v>185</v>
      </c>
      <c r="F20" s="108" t="s">
        <v>382</v>
      </c>
      <c r="G20" s="79" t="s">
        <v>188</v>
      </c>
      <c r="H20" s="1019" t="s">
        <v>213</v>
      </c>
      <c r="I20" s="1020"/>
      <c r="J20" s="337"/>
      <c r="K20" s="337"/>
      <c r="L20" s="337"/>
      <c r="M20" s="337"/>
      <c r="N20" s="337"/>
      <c r="O20" s="337"/>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18" customHeight="1" x14ac:dyDescent="0.25">
      <c r="A21" s="1018"/>
      <c r="B21" s="99"/>
      <c r="C21" s="106"/>
      <c r="D21" s="107"/>
      <c r="E21" s="108" t="s">
        <v>47</v>
      </c>
      <c r="F21" s="108" t="s">
        <v>48</v>
      </c>
      <c r="G21" s="338" t="s">
        <v>49</v>
      </c>
      <c r="H21" s="1021" t="s">
        <v>194</v>
      </c>
      <c r="I21" s="1021"/>
      <c r="J21" s="1030"/>
      <c r="K21" s="1031"/>
      <c r="L21" s="1031"/>
      <c r="M21" s="1031"/>
      <c r="N21" s="1031"/>
      <c r="O21" s="1032"/>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18" customHeight="1" x14ac:dyDescent="0.25">
      <c r="A22" s="1018"/>
      <c r="B22" s="334">
        <f>+B19+1</f>
        <v>14</v>
      </c>
      <c r="C22" s="330" t="s">
        <v>214</v>
      </c>
      <c r="D22" s="78">
        <v>3305</v>
      </c>
      <c r="E22" s="109"/>
      <c r="F22" s="33"/>
      <c r="G22" s="339"/>
      <c r="H22" s="1039">
        <f>IF(E22&lt;&gt;0,F22/E22*G22,0)</f>
        <v>0</v>
      </c>
      <c r="I22" s="1039"/>
      <c r="J22" s="1033"/>
      <c r="K22" s="1034"/>
      <c r="L22" s="1034"/>
      <c r="M22" s="1034"/>
      <c r="N22" s="1034"/>
      <c r="O22" s="1035"/>
    </row>
    <row r="23" spans="1:256" ht="18" customHeight="1" x14ac:dyDescent="0.25">
      <c r="A23" s="1018"/>
      <c r="B23" s="334">
        <f>+B22+1</f>
        <v>15</v>
      </c>
      <c r="C23" s="330" t="s">
        <v>214</v>
      </c>
      <c r="D23" s="78">
        <v>3305</v>
      </c>
      <c r="E23" s="109"/>
      <c r="F23" s="33"/>
      <c r="G23" s="339"/>
      <c r="H23" s="1039">
        <f t="shared" ref="H23:H25" si="5">IF(E23&lt;&gt;0,F23/E23*G23,0)</f>
        <v>0</v>
      </c>
      <c r="I23" s="1039"/>
      <c r="J23" s="1033"/>
      <c r="K23" s="1034"/>
      <c r="L23" s="1034"/>
      <c r="M23" s="1034"/>
      <c r="N23" s="1034"/>
      <c r="O23" s="1035"/>
    </row>
    <row r="24" spans="1:256" ht="18" customHeight="1" x14ac:dyDescent="0.25">
      <c r="A24" s="1018"/>
      <c r="B24" s="334">
        <f>+B23+1</f>
        <v>16</v>
      </c>
      <c r="C24" s="330" t="s">
        <v>214</v>
      </c>
      <c r="D24" s="78">
        <v>3305</v>
      </c>
      <c r="E24" s="109"/>
      <c r="F24" s="33"/>
      <c r="G24" s="339"/>
      <c r="H24" s="1039">
        <f t="shared" si="5"/>
        <v>0</v>
      </c>
      <c r="I24" s="1039"/>
      <c r="J24" s="1033"/>
      <c r="K24" s="1034"/>
      <c r="L24" s="1034"/>
      <c r="M24" s="1034"/>
      <c r="N24" s="1034"/>
      <c r="O24" s="1035"/>
    </row>
    <row r="25" spans="1:256" ht="24" customHeight="1" x14ac:dyDescent="0.25">
      <c r="A25" s="1018"/>
      <c r="B25" s="334">
        <f>+B24+1</f>
        <v>17</v>
      </c>
      <c r="C25" s="330" t="s">
        <v>215</v>
      </c>
      <c r="D25" s="78">
        <v>330516</v>
      </c>
      <c r="E25" s="109"/>
      <c r="F25" s="33"/>
      <c r="G25" s="339"/>
      <c r="H25" s="1039">
        <f t="shared" si="5"/>
        <v>0</v>
      </c>
      <c r="I25" s="1039"/>
      <c r="J25" s="1033"/>
      <c r="K25" s="1034"/>
      <c r="L25" s="1034"/>
      <c r="M25" s="1034"/>
      <c r="N25" s="1034"/>
      <c r="O25" s="1035"/>
    </row>
    <row r="26" spans="1:256" s="11" customFormat="1" ht="18" customHeight="1" x14ac:dyDescent="0.25">
      <c r="A26" s="1018"/>
      <c r="B26" s="334">
        <f>+B25+1</f>
        <v>18</v>
      </c>
      <c r="C26" s="331" t="s">
        <v>378</v>
      </c>
      <c r="D26" s="110">
        <v>3247</v>
      </c>
      <c r="E26" s="24"/>
      <c r="F26" s="24"/>
      <c r="G26" s="340"/>
      <c r="H26" s="1039">
        <f>IF(SUM(H22:I25)&lt;&gt;0,SUM(H22:I25),0)</f>
        <v>0</v>
      </c>
      <c r="I26" s="1039"/>
      <c r="J26" s="1033"/>
      <c r="K26" s="1034"/>
      <c r="L26" s="1034"/>
      <c r="M26" s="1034"/>
      <c r="N26" s="1034"/>
      <c r="O26" s="1035"/>
    </row>
    <row r="27" spans="1:256" ht="18" customHeight="1" x14ac:dyDescent="0.25">
      <c r="A27" s="1018"/>
      <c r="B27" s="334">
        <f>+B26+1</f>
        <v>19</v>
      </c>
      <c r="C27" s="111" t="s">
        <v>398</v>
      </c>
      <c r="D27" s="78">
        <v>3306</v>
      </c>
      <c r="E27" s="109"/>
      <c r="F27" s="109"/>
      <c r="G27" s="339"/>
      <c r="H27" s="1039">
        <f>IF(E27&lt;&gt;0,F27/E27*G27,0)</f>
        <v>0</v>
      </c>
      <c r="I27" s="1039"/>
      <c r="J27" s="1036"/>
      <c r="K27" s="1037"/>
      <c r="L27" s="1037"/>
      <c r="M27" s="1037"/>
      <c r="N27" s="1037"/>
      <c r="O27" s="1038"/>
    </row>
    <row r="28" spans="1:256" ht="18" customHeight="1" x14ac:dyDescent="0.25">
      <c r="A28" s="86" t="s">
        <v>70</v>
      </c>
      <c r="B28" s="85"/>
      <c r="C28" s="52"/>
      <c r="D28" s="12"/>
      <c r="E28" s="85"/>
      <c r="F28" s="52"/>
      <c r="G28" s="52"/>
      <c r="H28" s="52"/>
      <c r="I28" s="52"/>
      <c r="J28" s="52"/>
      <c r="K28" s="52"/>
      <c r="L28" s="52"/>
      <c r="M28" s="52"/>
      <c r="N28" s="52" t="s">
        <v>71</v>
      </c>
      <c r="O28" s="112"/>
    </row>
  </sheetData>
  <sheetProtection selectLockedCells="1" selectUnlockedCells="1"/>
  <mergeCells count="17">
    <mergeCell ref="H27:I27"/>
    <mergeCell ref="A7:A19"/>
    <mergeCell ref="A20:A27"/>
    <mergeCell ref="H20:I20"/>
    <mergeCell ref="H21:I21"/>
    <mergeCell ref="A1:O1"/>
    <mergeCell ref="A2:O2"/>
    <mergeCell ref="A3:B3"/>
    <mergeCell ref="C3:M3"/>
    <mergeCell ref="A4:B4"/>
    <mergeCell ref="C4:M4"/>
    <mergeCell ref="J21:O27"/>
    <mergeCell ref="H22:I22"/>
    <mergeCell ref="H23:I23"/>
    <mergeCell ref="H24:I24"/>
    <mergeCell ref="H25:I25"/>
    <mergeCell ref="H26:I26"/>
  </mergeCells>
  <phoneticPr fontId="32" type="noConversion"/>
  <dataValidations count="1">
    <dataValidation type="whole" operator="greaterThanOrEqual" allowBlank="1" showInputMessage="1" showErrorMessage="1" sqref="E22:F25 E19:G19 N7:O19 E27:F27 I19 E26:G26 E7:I18 L7:L19 H22:H27">
      <formula1>0</formula1>
      <formula2>0</formula2>
    </dataValidation>
  </dataValidations>
  <printOptions horizontalCentered="1"/>
  <pageMargins left="0.25" right="0.25" top="0.25" bottom="0.25" header="0.51180555555555551" footer="0.51180555555555551"/>
  <pageSetup paperSize="5" scale="91" firstPageNumber="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7"/>
    <pageSetUpPr fitToPage="1"/>
  </sheetPr>
  <dimension ref="A1:O74"/>
  <sheetViews>
    <sheetView workbookViewId="0">
      <selection activeCell="C2" sqref="C2:G2"/>
    </sheetView>
  </sheetViews>
  <sheetFormatPr defaultColWidth="15.44140625" defaultRowHeight="13.2" x14ac:dyDescent="0.25"/>
  <cols>
    <col min="1" max="1" width="5.109375" style="7" customWidth="1"/>
    <col min="2" max="2" width="5.109375" style="8" customWidth="1"/>
    <col min="3" max="3" width="54.44140625" style="29" customWidth="1"/>
    <col min="4" max="4" width="12.88671875" style="21" bestFit="1" customWidth="1"/>
    <col min="5" max="5" width="15.5546875" style="7" bestFit="1" customWidth="1"/>
    <col min="6" max="6" width="14.33203125" style="7" customWidth="1"/>
    <col min="7" max="7" width="15.33203125" style="389" customWidth="1"/>
    <col min="8" max="8" width="14.44140625" style="389" customWidth="1"/>
    <col min="9" max="9" width="13.88671875" style="389" customWidth="1"/>
    <col min="10" max="10" width="9" style="7" bestFit="1" customWidth="1"/>
    <col min="11" max="12" width="4.6640625" style="7" customWidth="1"/>
    <col min="13" max="16384" width="15.44140625" style="9"/>
  </cols>
  <sheetData>
    <row r="1" spans="1:15" ht="15.6" x14ac:dyDescent="0.3">
      <c r="A1" s="1041" t="s">
        <v>25</v>
      </c>
      <c r="B1" s="1041"/>
      <c r="C1" s="1041"/>
      <c r="D1" s="1041"/>
      <c r="E1" s="1041"/>
      <c r="F1" s="1041"/>
      <c r="G1" s="1041"/>
      <c r="H1" s="1041"/>
      <c r="I1" s="1041"/>
    </row>
    <row r="2" spans="1:15" ht="15.6" x14ac:dyDescent="0.3">
      <c r="A2" s="1041" t="s">
        <v>37</v>
      </c>
      <c r="B2" s="1041"/>
      <c r="C2" s="1042" t="str">
        <f>'IND (BUS PLUS)'!C4:F4</f>
        <v>MUHAMMAD RAHIL IQBAL</v>
      </c>
      <c r="D2" s="1042"/>
      <c r="E2" s="1042"/>
      <c r="F2" s="1042"/>
      <c r="G2" s="1042"/>
      <c r="H2" s="451" t="s">
        <v>38</v>
      </c>
      <c r="I2" s="451" t="str">
        <f>PROFILE!AU7</f>
        <v>2024</v>
      </c>
    </row>
    <row r="3" spans="1:15" ht="15.6" x14ac:dyDescent="0.3">
      <c r="A3" s="1041" t="s">
        <v>39</v>
      </c>
      <c r="B3" s="1041"/>
      <c r="C3" s="1042" t="str">
        <f>'IND (BUS PLUS)'!C5:F5</f>
        <v>-</v>
      </c>
      <c r="D3" s="1042"/>
      <c r="E3" s="1042"/>
      <c r="F3" s="1042"/>
      <c r="G3" s="1042"/>
      <c r="H3" s="451" t="s">
        <v>40</v>
      </c>
      <c r="I3" s="440" t="str">
        <f>PROFILE!AU4</f>
        <v>-</v>
      </c>
    </row>
    <row r="4" spans="1:15" ht="47.4" thickBot="1" x14ac:dyDescent="0.35">
      <c r="A4" s="392"/>
      <c r="B4" s="393" t="s">
        <v>42</v>
      </c>
      <c r="C4" s="394" t="s">
        <v>43</v>
      </c>
      <c r="D4" s="381" t="s">
        <v>44</v>
      </c>
      <c r="E4" s="394" t="s">
        <v>63</v>
      </c>
      <c r="F4" s="395" t="s">
        <v>216</v>
      </c>
      <c r="G4" s="441" t="s">
        <v>217</v>
      </c>
      <c r="H4" s="441" t="s">
        <v>218</v>
      </c>
      <c r="I4" s="441" t="s">
        <v>219</v>
      </c>
    </row>
    <row r="5" spans="1:15" ht="16.2" thickBot="1" x14ac:dyDescent="0.35">
      <c r="A5" s="1043" t="s">
        <v>219</v>
      </c>
      <c r="B5" s="396">
        <v>1</v>
      </c>
      <c r="C5" s="397" t="s">
        <v>556</v>
      </c>
      <c r="D5" s="398"/>
      <c r="E5" s="399" t="s">
        <v>47</v>
      </c>
      <c r="F5" s="400" t="s">
        <v>48</v>
      </c>
      <c r="G5" s="442" t="s">
        <v>49</v>
      </c>
      <c r="H5" s="442" t="s">
        <v>194</v>
      </c>
      <c r="I5" s="484" t="s">
        <v>195</v>
      </c>
      <c r="J5" s="485">
        <f>SUM(I6:I55)</f>
        <v>0</v>
      </c>
      <c r="K5" s="486"/>
    </row>
    <row r="6" spans="1:15" ht="15.6" x14ac:dyDescent="0.3">
      <c r="A6" s="1044"/>
      <c r="B6" s="723">
        <f t="shared" ref="B6:B55" si="0">+B5+1</f>
        <v>2</v>
      </c>
      <c r="C6" s="401" t="s">
        <v>626</v>
      </c>
      <c r="D6" s="402">
        <v>64010052</v>
      </c>
      <c r="E6" s="434">
        <f>'IND (BUS PLUS)'!F83</f>
        <v>0</v>
      </c>
      <c r="F6" s="434">
        <f>'IND (BUS PLUS)'!G83</f>
        <v>0</v>
      </c>
      <c r="G6" s="448">
        <f>'MINIMUM TAX '!G28</f>
        <v>0</v>
      </c>
      <c r="H6" s="448">
        <f>'MINIMUM TAX '!H28</f>
        <v>0</v>
      </c>
      <c r="I6" s="448">
        <f>'MINIMUM TAX '!I28</f>
        <v>0</v>
      </c>
      <c r="J6" s="25"/>
      <c r="M6" s="452"/>
    </row>
    <row r="7" spans="1:15" ht="15.6" x14ac:dyDescent="0.3">
      <c r="A7" s="1044"/>
      <c r="B7" s="723">
        <f t="shared" si="0"/>
        <v>3</v>
      </c>
      <c r="C7" s="401" t="s">
        <v>85</v>
      </c>
      <c r="D7" s="402">
        <v>64010054</v>
      </c>
      <c r="E7" s="434">
        <f>'IND (BUS PLUS)'!F84</f>
        <v>0</v>
      </c>
      <c r="F7" s="434">
        <f>'IND (BUS PLUS)'!G84</f>
        <v>0</v>
      </c>
      <c r="G7" s="448">
        <f>'MINIMUM TAX '!G29</f>
        <v>0</v>
      </c>
      <c r="H7" s="448">
        <f>'MINIMUM TAX '!H29</f>
        <v>0</v>
      </c>
      <c r="I7" s="448">
        <f>'MINIMUM TAX '!I29</f>
        <v>0</v>
      </c>
      <c r="J7" s="25"/>
      <c r="M7" s="452"/>
    </row>
    <row r="8" spans="1:15" ht="15.6" x14ac:dyDescent="0.3">
      <c r="A8" s="1044"/>
      <c r="B8" s="723">
        <f t="shared" si="0"/>
        <v>4</v>
      </c>
      <c r="C8" s="401" t="s">
        <v>86</v>
      </c>
      <c r="D8" s="402">
        <v>64010056</v>
      </c>
      <c r="E8" s="434">
        <f>'IND (BUS PLUS)'!F85</f>
        <v>0</v>
      </c>
      <c r="F8" s="434">
        <f>'IND (BUS PLUS)'!G85</f>
        <v>0</v>
      </c>
      <c r="G8" s="448">
        <f>'MINIMUM TAX '!G30</f>
        <v>0</v>
      </c>
      <c r="H8" s="448">
        <f>'MINIMUM TAX '!H30</f>
        <v>0</v>
      </c>
      <c r="I8" s="448">
        <f>'MINIMUM TAX '!I30</f>
        <v>0</v>
      </c>
      <c r="J8" s="25"/>
      <c r="M8" s="452"/>
    </row>
    <row r="9" spans="1:15" ht="15.6" x14ac:dyDescent="0.3">
      <c r="A9" s="1044"/>
      <c r="B9" s="723">
        <f t="shared" si="0"/>
        <v>5</v>
      </c>
      <c r="C9" s="401" t="s">
        <v>720</v>
      </c>
      <c r="D9" s="402">
        <v>64010084</v>
      </c>
      <c r="E9" s="434">
        <f>'IND (BUS PLUS)'!F86</f>
        <v>0</v>
      </c>
      <c r="F9" s="434">
        <f>'IND (BUS PLUS)'!G86</f>
        <v>0</v>
      </c>
      <c r="G9" s="448">
        <f>'MINIMUM TAX '!G32</f>
        <v>0</v>
      </c>
      <c r="H9" s="448">
        <f>'MINIMUM TAX '!H32</f>
        <v>0</v>
      </c>
      <c r="I9" s="448">
        <f>'MINIMUM TAX '!I32</f>
        <v>0</v>
      </c>
      <c r="J9" s="25"/>
      <c r="M9" s="452"/>
    </row>
    <row r="10" spans="1:15" ht="15.6" x14ac:dyDescent="0.3">
      <c r="A10" s="1044"/>
      <c r="B10" s="723">
        <f t="shared" si="0"/>
        <v>6</v>
      </c>
      <c r="C10" s="401" t="s">
        <v>594</v>
      </c>
      <c r="D10" s="402">
        <v>64010058</v>
      </c>
      <c r="E10" s="434">
        <f>'IND (BUS PLUS)'!F87</f>
        <v>0</v>
      </c>
      <c r="F10" s="434">
        <f>'IND (BUS PLUS)'!G87</f>
        <v>0</v>
      </c>
      <c r="G10" s="448">
        <f>'MINIMUM TAX '!G32</f>
        <v>0</v>
      </c>
      <c r="H10" s="448">
        <f>'MINIMUM TAX '!H32</f>
        <v>0</v>
      </c>
      <c r="I10" s="448">
        <f>'MINIMUM TAX '!I32</f>
        <v>0</v>
      </c>
      <c r="J10" s="25"/>
      <c r="M10" s="452"/>
    </row>
    <row r="11" spans="1:15" ht="15.6" x14ac:dyDescent="0.3">
      <c r="A11" s="1044"/>
      <c r="B11" s="723">
        <f t="shared" si="0"/>
        <v>7</v>
      </c>
      <c r="C11" s="401" t="s">
        <v>88</v>
      </c>
      <c r="D11" s="402">
        <v>64010062</v>
      </c>
      <c r="E11" s="434">
        <v>0</v>
      </c>
      <c r="F11" s="434">
        <v>0</v>
      </c>
      <c r="G11" s="448">
        <v>0</v>
      </c>
      <c r="H11" s="448">
        <v>0</v>
      </c>
      <c r="I11" s="448">
        <v>0</v>
      </c>
      <c r="J11" s="25"/>
      <c r="M11" s="452"/>
    </row>
    <row r="12" spans="1:15" s="308" customFormat="1" ht="15.6" x14ac:dyDescent="0.3">
      <c r="A12" s="1044"/>
      <c r="B12" s="723">
        <f t="shared" si="0"/>
        <v>8</v>
      </c>
      <c r="C12" s="403" t="s">
        <v>397</v>
      </c>
      <c r="D12" s="390">
        <v>64010161</v>
      </c>
      <c r="E12" s="404">
        <v>0</v>
      </c>
      <c r="F12" s="404">
        <v>0</v>
      </c>
      <c r="G12" s="447">
        <v>0</v>
      </c>
      <c r="H12" s="447">
        <v>0</v>
      </c>
      <c r="I12" s="447">
        <v>0</v>
      </c>
      <c r="J12" s="87"/>
      <c r="K12" s="87"/>
      <c r="L12" s="87"/>
      <c r="M12" s="452"/>
      <c r="O12" s="9"/>
    </row>
    <row r="13" spans="1:15" ht="15.6" x14ac:dyDescent="0.3">
      <c r="A13" s="1044"/>
      <c r="B13" s="723">
        <f t="shared" si="0"/>
        <v>9</v>
      </c>
      <c r="C13" s="405" t="s">
        <v>220</v>
      </c>
      <c r="D13" s="406">
        <v>64010181</v>
      </c>
      <c r="E13" s="391">
        <f>'IND (BUS PLUS)'!F89</f>
        <v>0</v>
      </c>
      <c r="F13" s="391">
        <f>'IND (BUS PLUS)'!G89</f>
        <v>0</v>
      </c>
      <c r="G13" s="447">
        <f>'MINIMUM TAX '!G38</f>
        <v>0</v>
      </c>
      <c r="H13" s="447">
        <f>'MINIMUM TAX '!H38</f>
        <v>0</v>
      </c>
      <c r="I13" s="447">
        <f>'MINIMUM TAX '!I38</f>
        <v>0</v>
      </c>
      <c r="M13" s="452"/>
    </row>
    <row r="14" spans="1:15" s="410" customFormat="1" ht="15.6" x14ac:dyDescent="0.3">
      <c r="A14" s="1044"/>
      <c r="B14" s="723">
        <f t="shared" si="0"/>
        <v>10</v>
      </c>
      <c r="C14" s="405" t="s">
        <v>627</v>
      </c>
      <c r="D14" s="407">
        <v>64010081</v>
      </c>
      <c r="E14" s="408">
        <v>0</v>
      </c>
      <c r="F14" s="408">
        <v>0</v>
      </c>
      <c r="G14" s="447">
        <v>0</v>
      </c>
      <c r="H14" s="447">
        <v>0</v>
      </c>
      <c r="I14" s="447">
        <v>0</v>
      </c>
      <c r="J14" s="409"/>
      <c r="K14" s="409"/>
      <c r="L14" s="409"/>
      <c r="M14" s="452"/>
      <c r="O14" s="9"/>
    </row>
    <row r="15" spans="1:15" s="410" customFormat="1" ht="15.6" x14ac:dyDescent="0.3">
      <c r="A15" s="1044"/>
      <c r="B15" s="723">
        <f t="shared" si="0"/>
        <v>11</v>
      </c>
      <c r="C15" s="405" t="s">
        <v>628</v>
      </c>
      <c r="D15" s="407">
        <v>64010083</v>
      </c>
      <c r="E15" s="408">
        <v>0</v>
      </c>
      <c r="F15" s="408">
        <v>0</v>
      </c>
      <c r="G15" s="447">
        <v>0</v>
      </c>
      <c r="H15" s="447">
        <v>0</v>
      </c>
      <c r="I15" s="447">
        <v>0</v>
      </c>
      <c r="J15" s="409"/>
      <c r="K15" s="409"/>
      <c r="L15" s="409"/>
      <c r="M15" s="452"/>
      <c r="O15" s="9"/>
    </row>
    <row r="16" spans="1:15" s="410" customFormat="1" ht="15.6" x14ac:dyDescent="0.3">
      <c r="A16" s="1044"/>
      <c r="B16" s="723">
        <f t="shared" si="0"/>
        <v>12</v>
      </c>
      <c r="C16" s="405" t="s">
        <v>629</v>
      </c>
      <c r="D16" s="407">
        <v>64010082</v>
      </c>
      <c r="E16" s="408">
        <v>0</v>
      </c>
      <c r="F16" s="408">
        <v>0</v>
      </c>
      <c r="G16" s="447">
        <v>0</v>
      </c>
      <c r="H16" s="447">
        <v>0</v>
      </c>
      <c r="I16" s="447">
        <v>0</v>
      </c>
      <c r="J16" s="409"/>
      <c r="K16" s="409"/>
      <c r="L16" s="409"/>
      <c r="M16" s="452"/>
      <c r="O16" s="9"/>
    </row>
    <row r="17" spans="1:15" s="410" customFormat="1" ht="22.5" customHeight="1" x14ac:dyDescent="0.3">
      <c r="A17" s="1044"/>
      <c r="B17" s="723">
        <f t="shared" si="0"/>
        <v>13</v>
      </c>
      <c r="C17" s="405" t="s">
        <v>630</v>
      </c>
      <c r="D17" s="407">
        <v>64010059</v>
      </c>
      <c r="E17" s="408">
        <v>0</v>
      </c>
      <c r="F17" s="408">
        <v>0</v>
      </c>
      <c r="G17" s="447">
        <v>0</v>
      </c>
      <c r="H17" s="447">
        <v>0</v>
      </c>
      <c r="I17" s="447">
        <v>0</v>
      </c>
      <c r="J17" s="409"/>
      <c r="K17" s="409"/>
      <c r="L17" s="409"/>
      <c r="M17" s="452"/>
      <c r="O17" s="9"/>
    </row>
    <row r="18" spans="1:15" s="410" customFormat="1" ht="30.6" x14ac:dyDescent="0.3">
      <c r="A18" s="1044"/>
      <c r="B18" s="723">
        <f t="shared" si="0"/>
        <v>14</v>
      </c>
      <c r="C18" s="405" t="s">
        <v>631</v>
      </c>
      <c r="D18" s="407">
        <v>64050052</v>
      </c>
      <c r="E18" s="408">
        <f>'IND (BUS PLUS)'!F98</f>
        <v>0</v>
      </c>
      <c r="F18" s="408">
        <f>'IND (BUS PLUS)'!G98</f>
        <v>0</v>
      </c>
      <c r="G18" s="447">
        <f>'MINIMUM TAX '!G39</f>
        <v>0</v>
      </c>
      <c r="H18" s="447">
        <f>'MINIMUM TAX '!H39</f>
        <v>0</v>
      </c>
      <c r="I18" s="447"/>
      <c r="J18" s="409"/>
      <c r="K18" s="409"/>
      <c r="L18" s="409"/>
      <c r="M18" s="452"/>
      <c r="O18" s="9"/>
    </row>
    <row r="19" spans="1:15" s="410" customFormat="1" ht="30.6" x14ac:dyDescent="0.3">
      <c r="A19" s="1044"/>
      <c r="B19" s="723">
        <f t="shared" si="0"/>
        <v>15</v>
      </c>
      <c r="C19" s="405" t="s">
        <v>632</v>
      </c>
      <c r="D19" s="407">
        <v>64050094</v>
      </c>
      <c r="E19" s="408">
        <f>'IND (BUS PLUS)'!F107</f>
        <v>0</v>
      </c>
      <c r="F19" s="408">
        <f>'IND (BUS PLUS)'!G107</f>
        <v>0</v>
      </c>
      <c r="G19" s="447"/>
      <c r="H19" s="447"/>
      <c r="I19" s="447"/>
      <c r="J19" s="409"/>
      <c r="K19" s="409"/>
      <c r="L19" s="409"/>
      <c r="M19" s="452"/>
      <c r="O19" s="9"/>
    </row>
    <row r="20" spans="1:15" s="410" customFormat="1" ht="30.6" x14ac:dyDescent="0.3">
      <c r="A20" s="1044"/>
      <c r="B20" s="723">
        <f t="shared" si="0"/>
        <v>16</v>
      </c>
      <c r="C20" s="405" t="s">
        <v>633</v>
      </c>
      <c r="D20" s="407">
        <v>64050053</v>
      </c>
      <c r="E20" s="408">
        <f>'IND (BUS PLUS)'!F99</f>
        <v>0</v>
      </c>
      <c r="F20" s="408">
        <f>'IND (BUS PLUS)'!G99</f>
        <v>0</v>
      </c>
      <c r="G20" s="447">
        <f>'MINIMUM TAX '!D40</f>
        <v>0</v>
      </c>
      <c r="H20" s="447">
        <f>'MINIMUM TAX '!E40</f>
        <v>0</v>
      </c>
      <c r="I20" s="447">
        <f>'MINIMUM TAX '!F40</f>
        <v>0</v>
      </c>
      <c r="J20" s="409"/>
      <c r="K20" s="409"/>
      <c r="L20" s="409"/>
      <c r="M20" s="452"/>
      <c r="O20" s="9"/>
    </row>
    <row r="21" spans="1:15" s="410" customFormat="1" ht="30.6" x14ac:dyDescent="0.3">
      <c r="A21" s="1044"/>
      <c r="B21" s="723">
        <f t="shared" si="0"/>
        <v>17</v>
      </c>
      <c r="C21" s="405" t="s">
        <v>634</v>
      </c>
      <c r="D21" s="407">
        <v>64050054</v>
      </c>
      <c r="E21" s="408">
        <f>'IND (BUS PLUS)'!F100</f>
        <v>0</v>
      </c>
      <c r="F21" s="408">
        <f>'IND (BUS PLUS)'!G100</f>
        <v>0</v>
      </c>
      <c r="G21" s="447">
        <f>'MINIMUM TAX '!D41</f>
        <v>0</v>
      </c>
      <c r="H21" s="447">
        <f>'MINIMUM TAX '!E41</f>
        <v>0</v>
      </c>
      <c r="I21" s="447">
        <f>'MINIMUM TAX '!F41</f>
        <v>0</v>
      </c>
      <c r="J21" s="409"/>
      <c r="K21" s="409"/>
      <c r="L21" s="409"/>
      <c r="M21" s="452"/>
      <c r="O21" s="9"/>
    </row>
    <row r="22" spans="1:15" s="410" customFormat="1" ht="30.6" x14ac:dyDescent="0.3">
      <c r="A22" s="1044"/>
      <c r="B22" s="723">
        <f t="shared" si="0"/>
        <v>18</v>
      </c>
      <c r="C22" s="405" t="s">
        <v>635</v>
      </c>
      <c r="D22" s="407">
        <v>64050055</v>
      </c>
      <c r="E22" s="408">
        <f>'IND (BUS PLUS)'!F101</f>
        <v>0</v>
      </c>
      <c r="F22" s="408">
        <f>'IND (BUS PLUS)'!G101</f>
        <v>0</v>
      </c>
      <c r="G22" s="447">
        <f>'MINIMUM TAX '!D42</f>
        <v>0</v>
      </c>
      <c r="H22" s="447">
        <f>'MINIMUM TAX '!E42</f>
        <v>0</v>
      </c>
      <c r="I22" s="447">
        <f>'MINIMUM TAX '!F42</f>
        <v>0</v>
      </c>
      <c r="J22" s="409"/>
      <c r="K22" s="409"/>
      <c r="L22" s="409"/>
      <c r="M22" s="452"/>
      <c r="O22" s="9"/>
    </row>
    <row r="23" spans="1:15" s="410" customFormat="1" ht="60.6" x14ac:dyDescent="0.3">
      <c r="A23" s="1044"/>
      <c r="B23" s="723">
        <f t="shared" si="0"/>
        <v>19</v>
      </c>
      <c r="C23" s="411" t="s">
        <v>729</v>
      </c>
      <c r="D23" s="709">
        <v>64210057</v>
      </c>
      <c r="E23" s="408"/>
      <c r="F23" s="408"/>
      <c r="G23" s="447"/>
      <c r="H23" s="447"/>
      <c r="I23" s="447"/>
      <c r="J23" s="409"/>
      <c r="K23" s="409"/>
      <c r="L23" s="409"/>
      <c r="M23" s="452"/>
      <c r="O23" s="9"/>
    </row>
    <row r="24" spans="1:15" s="410" customFormat="1" ht="75" x14ac:dyDescent="0.3">
      <c r="A24" s="1044"/>
      <c r="B24" s="723">
        <f t="shared" si="0"/>
        <v>20</v>
      </c>
      <c r="C24" s="725" t="s">
        <v>730</v>
      </c>
      <c r="D24" s="709">
        <v>64210058</v>
      </c>
      <c r="E24" s="408"/>
      <c r="F24" s="408"/>
      <c r="G24" s="447"/>
      <c r="H24" s="447"/>
      <c r="I24" s="447"/>
      <c r="J24" s="409"/>
      <c r="K24" s="409"/>
      <c r="L24" s="409"/>
      <c r="M24" s="452"/>
      <c r="O24" s="9"/>
    </row>
    <row r="25" spans="1:15" s="410" customFormat="1" ht="30.6" x14ac:dyDescent="0.3">
      <c r="A25" s="1044"/>
      <c r="B25" s="723">
        <f t="shared" si="0"/>
        <v>21</v>
      </c>
      <c r="C25" s="405" t="s">
        <v>636</v>
      </c>
      <c r="D25" s="407">
        <v>64050095</v>
      </c>
      <c r="E25" s="408">
        <f>'IND (BUS PLUS)'!F108</f>
        <v>0</v>
      </c>
      <c r="F25" s="408">
        <f>'IND (BUS PLUS)'!G108</f>
        <v>0</v>
      </c>
      <c r="G25" s="447"/>
      <c r="H25" s="447"/>
      <c r="I25" s="447"/>
      <c r="J25" s="409"/>
      <c r="K25" s="409"/>
      <c r="L25" s="409"/>
      <c r="M25" s="452"/>
      <c r="O25" s="9"/>
    </row>
    <row r="26" spans="1:15" ht="15.6" x14ac:dyDescent="0.3">
      <c r="A26" s="1044"/>
      <c r="B26" s="723">
        <f t="shared" si="0"/>
        <v>22</v>
      </c>
      <c r="C26" s="405" t="s">
        <v>368</v>
      </c>
      <c r="D26" s="406">
        <v>64060152</v>
      </c>
      <c r="E26" s="391">
        <f>'IND (BUS PLUS)'!F114</f>
        <v>0</v>
      </c>
      <c r="F26" s="391">
        <f>'IND (BUS PLUS)'!G114</f>
        <v>0</v>
      </c>
      <c r="G26" s="447">
        <f>'MINIMUM TAX '!G47</f>
        <v>0</v>
      </c>
      <c r="H26" s="447">
        <f>'MINIMUM TAX '!H47</f>
        <v>0</v>
      </c>
      <c r="I26" s="447">
        <f>'MINIMUM TAX '!I47</f>
        <v>0</v>
      </c>
      <c r="M26" s="452"/>
    </row>
    <row r="27" spans="1:15" ht="15.6" x14ac:dyDescent="0.3">
      <c r="A27" s="1044"/>
      <c r="B27" s="723">
        <f t="shared" si="0"/>
        <v>23</v>
      </c>
      <c r="C27" s="405" t="s">
        <v>637</v>
      </c>
      <c r="D27" s="406">
        <v>64060082</v>
      </c>
      <c r="E27" s="449"/>
      <c r="F27" s="449"/>
      <c r="G27" s="450"/>
      <c r="H27" s="450"/>
      <c r="I27" s="450"/>
      <c r="M27" s="453"/>
    </row>
    <row r="28" spans="1:15" ht="15.6" x14ac:dyDescent="0.3">
      <c r="A28" s="1044"/>
      <c r="B28" s="723">
        <f t="shared" si="0"/>
        <v>24</v>
      </c>
      <c r="C28" s="405" t="s">
        <v>638</v>
      </c>
      <c r="D28" s="406">
        <v>64060055</v>
      </c>
      <c r="E28" s="391">
        <f>'IND (BUS PLUS)'!F112</f>
        <v>0</v>
      </c>
      <c r="F28" s="391">
        <f>'IND (BUS PLUS)'!G112</f>
        <v>0</v>
      </c>
      <c r="G28" s="447">
        <f>'MINIMUM TAX '!G45</f>
        <v>0</v>
      </c>
      <c r="H28" s="447">
        <f>'MINIMUM TAX '!H45</f>
        <v>0</v>
      </c>
      <c r="I28" s="447">
        <f>'MINIMUM TAX '!I45</f>
        <v>0</v>
      </c>
      <c r="M28" s="452"/>
    </row>
    <row r="29" spans="1:15" ht="15.6" x14ac:dyDescent="0.3">
      <c r="A29" s="1044"/>
      <c r="B29" s="723">
        <f t="shared" si="0"/>
        <v>25</v>
      </c>
      <c r="C29" s="405" t="s">
        <v>639</v>
      </c>
      <c r="D29" s="406">
        <v>64060059</v>
      </c>
      <c r="E29" s="449"/>
      <c r="F29" s="449"/>
      <c r="G29" s="450"/>
      <c r="H29" s="450"/>
      <c r="I29" s="450"/>
      <c r="M29" s="453"/>
    </row>
    <row r="30" spans="1:15" ht="15.6" x14ac:dyDescent="0.3">
      <c r="A30" s="1044"/>
      <c r="B30" s="723">
        <f t="shared" si="0"/>
        <v>26</v>
      </c>
      <c r="C30" s="411" t="s">
        <v>640</v>
      </c>
      <c r="D30" s="406">
        <v>64060153</v>
      </c>
      <c r="E30" s="391">
        <f>'IND (BUS PLUS)'!F115</f>
        <v>0</v>
      </c>
      <c r="F30" s="391">
        <f>'IND (BUS PLUS)'!G115</f>
        <v>0</v>
      </c>
      <c r="G30" s="447">
        <f>'MINIMUM TAX '!G48</f>
        <v>0</v>
      </c>
      <c r="H30" s="447">
        <f>'MINIMUM TAX '!H48</f>
        <v>0</v>
      </c>
      <c r="I30" s="447">
        <f>'MINIMUM TAX '!I48</f>
        <v>0</v>
      </c>
      <c r="M30" s="452"/>
    </row>
    <row r="31" spans="1:15" ht="30.6" x14ac:dyDescent="0.3">
      <c r="A31" s="1044"/>
      <c r="B31" s="723">
        <f t="shared" si="0"/>
        <v>27</v>
      </c>
      <c r="C31" s="411" t="s">
        <v>641</v>
      </c>
      <c r="D31" s="406">
        <v>64060156</v>
      </c>
      <c r="E31" s="391"/>
      <c r="F31" s="391"/>
      <c r="G31" s="440"/>
      <c r="H31" s="447"/>
      <c r="I31" s="440"/>
      <c r="M31" s="453"/>
    </row>
    <row r="32" spans="1:15" ht="15.6" x14ac:dyDescent="0.3">
      <c r="A32" s="1044"/>
      <c r="B32" s="723">
        <f t="shared" si="0"/>
        <v>28</v>
      </c>
      <c r="C32" s="411" t="s">
        <v>369</v>
      </c>
      <c r="D32" s="406">
        <v>64060154</v>
      </c>
      <c r="E32" s="391">
        <f>'IND (BUS PLUS)'!F116</f>
        <v>0</v>
      </c>
      <c r="F32" s="391">
        <f>'IND (BUS PLUS)'!G116</f>
        <v>0</v>
      </c>
      <c r="G32" s="447">
        <f>'MINIMUM TAX '!G49</f>
        <v>0</v>
      </c>
      <c r="H32" s="447">
        <f>'MINIMUM TAX '!H49</f>
        <v>0</v>
      </c>
      <c r="I32" s="447">
        <f>'MINIMUM TAX '!I49</f>
        <v>0</v>
      </c>
      <c r="M32" s="452"/>
    </row>
    <row r="33" spans="1:13" ht="15.6" x14ac:dyDescent="0.3">
      <c r="A33" s="1044"/>
      <c r="B33" s="723">
        <f t="shared" si="0"/>
        <v>29</v>
      </c>
      <c r="C33" s="411" t="s">
        <v>370</v>
      </c>
      <c r="D33" s="406">
        <v>64060170</v>
      </c>
      <c r="E33" s="391">
        <f>'IND (BUS PLUS)'!F117</f>
        <v>0</v>
      </c>
      <c r="F33" s="391">
        <f>'IND (BUS PLUS)'!G117</f>
        <v>0</v>
      </c>
      <c r="G33" s="447">
        <f>'MINIMUM TAX '!G50</f>
        <v>0</v>
      </c>
      <c r="H33" s="447">
        <f>'MINIMUM TAX '!H50</f>
        <v>0</v>
      </c>
      <c r="I33" s="447">
        <f>'MINIMUM TAX '!I50</f>
        <v>0</v>
      </c>
      <c r="M33" s="452"/>
    </row>
    <row r="34" spans="1:13" ht="15.6" x14ac:dyDescent="0.3">
      <c r="A34" s="1044"/>
      <c r="B34" s="723">
        <f t="shared" si="0"/>
        <v>30</v>
      </c>
      <c r="C34" s="411" t="s">
        <v>557</v>
      </c>
      <c r="D34" s="406">
        <v>64060180</v>
      </c>
      <c r="E34" s="391"/>
      <c r="F34" s="391"/>
      <c r="G34" s="447"/>
      <c r="H34" s="447"/>
      <c r="I34" s="447"/>
      <c r="M34" s="452"/>
    </row>
    <row r="35" spans="1:13" ht="15.6" x14ac:dyDescent="0.3">
      <c r="A35" s="1044"/>
      <c r="B35" s="723">
        <f t="shared" si="0"/>
        <v>31</v>
      </c>
      <c r="C35" s="401" t="s">
        <v>742</v>
      </c>
      <c r="D35" s="402">
        <v>64060266</v>
      </c>
      <c r="E35" s="391">
        <f>'IND (BUS PLUS)'!F118</f>
        <v>0</v>
      </c>
      <c r="F35" s="391">
        <f>'IND (BUS PLUS)'!G118</f>
        <v>0</v>
      </c>
      <c r="G35" s="447">
        <f>'MINIMUM TAX '!G51</f>
        <v>0</v>
      </c>
      <c r="H35" s="447">
        <f>'MINIMUM TAX '!H51</f>
        <v>0</v>
      </c>
      <c r="I35" s="447">
        <f>'MINIMUM TAX '!I51</f>
        <v>0</v>
      </c>
      <c r="M35" s="452"/>
    </row>
    <row r="36" spans="1:13" ht="15.6" x14ac:dyDescent="0.3">
      <c r="A36" s="1044"/>
      <c r="B36" s="723">
        <f t="shared" si="0"/>
        <v>32</v>
      </c>
      <c r="C36" s="401" t="s">
        <v>533</v>
      </c>
      <c r="D36" s="402">
        <v>64060270</v>
      </c>
      <c r="E36" s="391">
        <f>'IND (BUS PLUS)'!F119</f>
        <v>0</v>
      </c>
      <c r="F36" s="391">
        <f>'IND (BUS PLUS)'!G119</f>
        <v>0</v>
      </c>
      <c r="G36" s="447">
        <f>'MINIMUM TAX '!G52</f>
        <v>0</v>
      </c>
      <c r="H36" s="447">
        <f>'MINIMUM TAX '!H52</f>
        <v>0</v>
      </c>
      <c r="I36" s="447">
        <f>'MINIMUM TAX '!I52</f>
        <v>0</v>
      </c>
      <c r="M36" s="452"/>
    </row>
    <row r="37" spans="1:13" ht="15.6" x14ac:dyDescent="0.3">
      <c r="A37" s="1044"/>
      <c r="B37" s="723">
        <f t="shared" si="0"/>
        <v>33</v>
      </c>
      <c r="C37" s="401" t="s">
        <v>89</v>
      </c>
      <c r="D37" s="402">
        <v>64060052</v>
      </c>
      <c r="E37" s="391">
        <f>'IND (BUS PLUS)'!F110</f>
        <v>0</v>
      </c>
      <c r="F37" s="391">
        <f>'IND (BUS PLUS)'!G110</f>
        <v>0</v>
      </c>
      <c r="G37" s="447">
        <f>'MINIMUM TAX '!G43</f>
        <v>0</v>
      </c>
      <c r="H37" s="447">
        <f>'MINIMUM TAX '!H43</f>
        <v>0</v>
      </c>
      <c r="I37" s="447">
        <f>'MINIMUM TAX '!I43</f>
        <v>0</v>
      </c>
      <c r="M37" s="452"/>
    </row>
    <row r="38" spans="1:13" ht="15.6" x14ac:dyDescent="0.3">
      <c r="A38" s="1044"/>
      <c r="B38" s="723">
        <f t="shared" si="0"/>
        <v>34</v>
      </c>
      <c r="C38" s="401" t="s">
        <v>90</v>
      </c>
      <c r="D38" s="402">
        <v>64060053</v>
      </c>
      <c r="E38" s="391">
        <f>'IND (BUS PLUS)'!F111</f>
        <v>0</v>
      </c>
      <c r="F38" s="391">
        <f>'IND (BUS PLUS)'!G111</f>
        <v>0</v>
      </c>
      <c r="G38" s="447">
        <f>'MINIMUM TAX '!G44</f>
        <v>0</v>
      </c>
      <c r="H38" s="447">
        <f>'MINIMUM TAX '!H44</f>
        <v>0</v>
      </c>
      <c r="I38" s="447">
        <f>'MINIMUM TAX '!I44</f>
        <v>0</v>
      </c>
      <c r="M38" s="452"/>
    </row>
    <row r="39" spans="1:13" ht="15.6" x14ac:dyDescent="0.3">
      <c r="A39" s="1045"/>
      <c r="B39" s="723">
        <f t="shared" si="0"/>
        <v>35</v>
      </c>
      <c r="C39" s="401" t="s">
        <v>741</v>
      </c>
      <c r="D39" s="402">
        <v>64060083</v>
      </c>
      <c r="E39" s="391">
        <f>'IND (BUS PLUS)'!F113</f>
        <v>0</v>
      </c>
      <c r="F39" s="391">
        <f>'IND (BUS PLUS)'!G113</f>
        <v>0</v>
      </c>
      <c r="G39" s="447">
        <f>'MINIMUM TAX '!G46</f>
        <v>0</v>
      </c>
      <c r="H39" s="447">
        <f>'MINIMUM TAX '!H46</f>
        <v>0</v>
      </c>
      <c r="I39" s="447">
        <f>'MINIMUM TAX '!I46</f>
        <v>0</v>
      </c>
      <c r="M39" s="452"/>
    </row>
    <row r="40" spans="1:13" ht="15.6" x14ac:dyDescent="0.3">
      <c r="A40" s="412"/>
      <c r="B40" s="723">
        <f t="shared" si="0"/>
        <v>36</v>
      </c>
      <c r="C40" s="415" t="s">
        <v>92</v>
      </c>
      <c r="D40" s="402">
        <v>64060352</v>
      </c>
      <c r="E40" s="413">
        <f>'IND (BUS PLUS)'!F120</f>
        <v>0</v>
      </c>
      <c r="F40" s="413">
        <f>'IND (BUS PLUS)'!G120</f>
        <v>0</v>
      </c>
      <c r="G40" s="447">
        <f>'MINIMUM TAX '!G53</f>
        <v>0</v>
      </c>
      <c r="H40" s="447">
        <f>'MINIMUM TAX '!H53</f>
        <v>0</v>
      </c>
      <c r="I40" s="447">
        <f>'MINIMUM TAX '!I53</f>
        <v>0</v>
      </c>
      <c r="M40" s="452"/>
    </row>
    <row r="41" spans="1:13" ht="15.6" x14ac:dyDescent="0.3">
      <c r="A41" s="412"/>
      <c r="B41" s="723">
        <f t="shared" si="0"/>
        <v>37</v>
      </c>
      <c r="C41" s="436" t="s">
        <v>642</v>
      </c>
      <c r="D41" s="435">
        <v>64060281</v>
      </c>
      <c r="E41" s="413">
        <f>'IND (BUS PLUS)'!F121</f>
        <v>0</v>
      </c>
      <c r="F41" s="413">
        <f>'IND (BUS PLUS)'!G121</f>
        <v>0</v>
      </c>
      <c r="G41" s="447">
        <f>'MINIMUM TAX '!G54</f>
        <v>0</v>
      </c>
      <c r="H41" s="447">
        <f>'MINIMUM TAX '!H54</f>
        <v>0</v>
      </c>
      <c r="I41" s="447">
        <f>'MINIMUM TAX '!I54</f>
        <v>0</v>
      </c>
      <c r="M41" s="452"/>
    </row>
    <row r="42" spans="1:13" ht="15.6" x14ac:dyDescent="0.3">
      <c r="A42" s="412"/>
      <c r="B42" s="723">
        <f t="shared" si="0"/>
        <v>38</v>
      </c>
      <c r="C42" s="414" t="s">
        <v>643</v>
      </c>
      <c r="D42" s="402">
        <v>64060282</v>
      </c>
      <c r="E42" s="413">
        <f>'IND (BUS PLUS)'!F122</f>
        <v>0</v>
      </c>
      <c r="F42" s="413">
        <f>'IND (BUS PLUS)'!G122</f>
        <v>0</v>
      </c>
      <c r="G42" s="447">
        <f>'MINIMUM TAX '!G55</f>
        <v>0</v>
      </c>
      <c r="H42" s="447">
        <f>'MINIMUM TAX '!H55</f>
        <v>0</v>
      </c>
      <c r="I42" s="447">
        <f>'MINIMUM TAX '!I55</f>
        <v>0</v>
      </c>
      <c r="M42" s="452"/>
    </row>
    <row r="43" spans="1:13" ht="15.6" x14ac:dyDescent="0.3">
      <c r="A43" s="412"/>
      <c r="B43" s="723">
        <f t="shared" si="0"/>
        <v>39</v>
      </c>
      <c r="C43" s="401" t="s">
        <v>537</v>
      </c>
      <c r="D43" s="402">
        <v>64120066</v>
      </c>
      <c r="E43" s="413">
        <f>'IND (BUS PLUS)'!F139</f>
        <v>0</v>
      </c>
      <c r="F43" s="413">
        <f>'IND (BUS PLUS)'!G139</f>
        <v>0</v>
      </c>
      <c r="G43" s="447">
        <f>'MINIMUM TAX '!G57</f>
        <v>0</v>
      </c>
      <c r="H43" s="447">
        <f>'MINIMUM TAX '!H57</f>
        <v>0</v>
      </c>
      <c r="I43" s="447">
        <f>'MINIMUM TAX '!I57</f>
        <v>0</v>
      </c>
      <c r="M43" s="452"/>
    </row>
    <row r="44" spans="1:13" ht="15.6" x14ac:dyDescent="0.3">
      <c r="A44" s="412"/>
      <c r="B44" s="723">
        <f t="shared" si="0"/>
        <v>40</v>
      </c>
      <c r="C44" s="401" t="s">
        <v>514</v>
      </c>
      <c r="D44" s="402">
        <v>64120070</v>
      </c>
      <c r="E44" s="413">
        <f>'IND (BUS PLUS)'!F140</f>
        <v>0</v>
      </c>
      <c r="F44" s="413">
        <f>'IND (BUS PLUS)'!G140</f>
        <v>0</v>
      </c>
      <c r="G44" s="447">
        <f>'MINIMUM TAX '!G58</f>
        <v>0</v>
      </c>
      <c r="H44" s="447">
        <f>'MINIMUM TAX '!H58</f>
        <v>0</v>
      </c>
      <c r="I44" s="447">
        <f>'MINIMUM TAX '!I58</f>
        <v>0</v>
      </c>
      <c r="M44" s="452"/>
    </row>
    <row r="45" spans="1:13" ht="15.6" x14ac:dyDescent="0.3">
      <c r="A45" s="412"/>
      <c r="B45" s="723">
        <f t="shared" si="0"/>
        <v>41</v>
      </c>
      <c r="C45" s="415" t="s">
        <v>446</v>
      </c>
      <c r="D45" s="416">
        <v>64120074</v>
      </c>
      <c r="E45" s="413">
        <f>'IND (BUS PLUS)'!F141</f>
        <v>0</v>
      </c>
      <c r="F45" s="413">
        <f>'IND (BUS PLUS)'!G141</f>
        <v>0</v>
      </c>
      <c r="G45" s="447">
        <f>'MINIMUM TAX '!G59</f>
        <v>0</v>
      </c>
      <c r="H45" s="447">
        <f>'MINIMUM TAX '!H59</f>
        <v>0</v>
      </c>
      <c r="I45" s="447">
        <f>'MINIMUM TAX '!I59</f>
        <v>0</v>
      </c>
      <c r="M45" s="452"/>
    </row>
    <row r="46" spans="1:13" ht="15.6" x14ac:dyDescent="0.3">
      <c r="A46" s="412"/>
      <c r="B46" s="723">
        <f t="shared" si="0"/>
        <v>42</v>
      </c>
      <c r="C46" s="415" t="s">
        <v>620</v>
      </c>
      <c r="D46" s="416">
        <v>64120060</v>
      </c>
      <c r="E46" s="413">
        <f>'IND (BUS PLUS)'!F138</f>
        <v>0</v>
      </c>
      <c r="F46" s="413">
        <f>'IND (BUS PLUS)'!G138</f>
        <v>0</v>
      </c>
      <c r="G46" s="447">
        <f>'MINIMUM TAX '!G56</f>
        <v>0</v>
      </c>
      <c r="H46" s="447">
        <f>'MINIMUM TAX '!H56</f>
        <v>0</v>
      </c>
      <c r="I46" s="447">
        <f>'MINIMUM TAX '!I56</f>
        <v>0</v>
      </c>
      <c r="M46" s="452"/>
    </row>
    <row r="47" spans="1:13" ht="30.6" x14ac:dyDescent="0.3">
      <c r="A47" s="412"/>
      <c r="B47" s="723">
        <f t="shared" si="0"/>
        <v>43</v>
      </c>
      <c r="C47" s="439" t="s">
        <v>644</v>
      </c>
      <c r="D47" s="437">
        <v>64120045</v>
      </c>
      <c r="E47" s="413"/>
      <c r="F47" s="413"/>
      <c r="G47" s="443"/>
      <c r="H47" s="447"/>
      <c r="I47" s="443"/>
      <c r="M47" s="453"/>
    </row>
    <row r="48" spans="1:13" ht="30.6" x14ac:dyDescent="0.3">
      <c r="A48" s="412"/>
      <c r="B48" s="723">
        <f t="shared" si="0"/>
        <v>44</v>
      </c>
      <c r="C48" s="439" t="s">
        <v>645</v>
      </c>
      <c r="D48" s="437">
        <v>64120046</v>
      </c>
      <c r="E48" s="413"/>
      <c r="F48" s="413"/>
      <c r="G48" s="443"/>
      <c r="H48" s="447"/>
      <c r="I48" s="443"/>
      <c r="M48" s="453"/>
    </row>
    <row r="49" spans="1:13" ht="30.6" x14ac:dyDescent="0.3">
      <c r="A49" s="412"/>
      <c r="B49" s="723">
        <f t="shared" si="0"/>
        <v>45</v>
      </c>
      <c r="C49" s="439" t="s">
        <v>646</v>
      </c>
      <c r="D49" s="437">
        <v>64120047</v>
      </c>
      <c r="E49" s="413"/>
      <c r="F49" s="413"/>
      <c r="G49" s="443"/>
      <c r="H49" s="447"/>
      <c r="I49" s="443"/>
      <c r="M49" s="453"/>
    </row>
    <row r="50" spans="1:13" ht="30.6" x14ac:dyDescent="0.3">
      <c r="A50" s="412"/>
      <c r="B50" s="723">
        <f t="shared" si="0"/>
        <v>46</v>
      </c>
      <c r="C50" s="439" t="s">
        <v>647</v>
      </c>
      <c r="D50" s="437">
        <v>64120048</v>
      </c>
      <c r="E50" s="413"/>
      <c r="F50" s="413"/>
      <c r="G50" s="443"/>
      <c r="H50" s="447"/>
      <c r="I50" s="443"/>
      <c r="M50" s="453"/>
    </row>
    <row r="51" spans="1:13" ht="30.6" x14ac:dyDescent="0.3">
      <c r="A51" s="412"/>
      <c r="B51" s="723">
        <f t="shared" si="0"/>
        <v>47</v>
      </c>
      <c r="C51" s="439" t="s">
        <v>648</v>
      </c>
      <c r="D51" s="437">
        <v>64120049</v>
      </c>
      <c r="E51" s="413"/>
      <c r="F51" s="413"/>
      <c r="G51" s="443"/>
      <c r="H51" s="447"/>
      <c r="I51" s="443"/>
      <c r="M51" s="453"/>
    </row>
    <row r="52" spans="1:13" ht="30.6" x14ac:dyDescent="0.3">
      <c r="A52" s="412"/>
      <c r="B52" s="723">
        <f t="shared" si="0"/>
        <v>48</v>
      </c>
      <c r="C52" s="439" t="s">
        <v>649</v>
      </c>
      <c r="D52" s="437">
        <v>64120050</v>
      </c>
      <c r="E52" s="413"/>
      <c r="F52" s="413"/>
      <c r="G52" s="443"/>
      <c r="H52" s="447"/>
      <c r="I52" s="443"/>
      <c r="M52" s="453"/>
    </row>
    <row r="53" spans="1:13" ht="15.6" x14ac:dyDescent="0.3">
      <c r="A53" s="412"/>
      <c r="B53" s="723">
        <f t="shared" si="0"/>
        <v>49</v>
      </c>
      <c r="C53" s="436" t="s">
        <v>449</v>
      </c>
      <c r="D53" s="437">
        <v>64130151</v>
      </c>
      <c r="E53" s="413">
        <f>'IND (BUS PLUS)'!F142</f>
        <v>0</v>
      </c>
      <c r="F53" s="413">
        <f>'IND (BUS PLUS)'!G142</f>
        <v>0</v>
      </c>
      <c r="G53" s="447">
        <f>'MINIMUM TAX '!G60</f>
        <v>0</v>
      </c>
      <c r="H53" s="447">
        <f>'MINIMUM TAX '!H60</f>
        <v>0</v>
      </c>
      <c r="I53" s="447">
        <f>'MINIMUM TAX '!I60</f>
        <v>0</v>
      </c>
      <c r="M53" s="452"/>
    </row>
    <row r="54" spans="1:13" ht="30.6" x14ac:dyDescent="0.3">
      <c r="A54" s="412"/>
      <c r="B54" s="723">
        <f t="shared" si="0"/>
        <v>50</v>
      </c>
      <c r="C54" s="436" t="s">
        <v>650</v>
      </c>
      <c r="D54" s="437">
        <v>64320053</v>
      </c>
      <c r="E54" s="413"/>
      <c r="F54" s="413"/>
      <c r="G54" s="443"/>
      <c r="H54" s="447"/>
      <c r="I54" s="443"/>
      <c r="M54" s="453"/>
    </row>
    <row r="55" spans="1:13" ht="30.6" x14ac:dyDescent="0.3">
      <c r="A55" s="412"/>
      <c r="B55" s="723">
        <f t="shared" si="0"/>
        <v>51</v>
      </c>
      <c r="C55" s="436" t="s">
        <v>651</v>
      </c>
      <c r="D55" s="437">
        <v>64320051</v>
      </c>
      <c r="E55" s="413">
        <f>'IND (BUS PLUS)'!F173</f>
        <v>0</v>
      </c>
      <c r="F55" s="413">
        <f>'IND (BUS PLUS)'!G173</f>
        <v>0</v>
      </c>
      <c r="G55" s="447"/>
      <c r="H55" s="447"/>
      <c r="I55" s="447" t="str">
        <f>IF(H55&gt;=F55,"0",(F55-H55))</f>
        <v>0</v>
      </c>
      <c r="M55" s="452"/>
    </row>
    <row r="56" spans="1:13" ht="40.200000000000003" x14ac:dyDescent="0.3">
      <c r="A56" s="417"/>
      <c r="B56" s="418" t="s">
        <v>42</v>
      </c>
      <c r="C56" s="438" t="s">
        <v>43</v>
      </c>
      <c r="D56" s="420" t="s">
        <v>44</v>
      </c>
      <c r="E56" s="419" t="s">
        <v>63</v>
      </c>
      <c r="F56" s="421" t="s">
        <v>221</v>
      </c>
      <c r="G56" s="444" t="s">
        <v>217</v>
      </c>
      <c r="H56" s="444" t="s">
        <v>218</v>
      </c>
      <c r="I56" s="444" t="s">
        <v>222</v>
      </c>
      <c r="M56" s="157"/>
    </row>
    <row r="57" spans="1:13" ht="15.6" x14ac:dyDescent="0.25">
      <c r="A57" s="422"/>
      <c r="B57" s="423"/>
      <c r="C57" s="424"/>
      <c r="D57" s="425"/>
      <c r="E57" s="424" t="s">
        <v>47</v>
      </c>
      <c r="F57" s="426" t="s">
        <v>48</v>
      </c>
      <c r="G57" s="445" t="s">
        <v>49</v>
      </c>
      <c r="H57" s="445" t="s">
        <v>194</v>
      </c>
      <c r="I57" s="445" t="s">
        <v>195</v>
      </c>
      <c r="J57" s="52"/>
      <c r="M57" s="157"/>
    </row>
    <row r="58" spans="1:13" ht="15.6" x14ac:dyDescent="0.3">
      <c r="A58" s="1040"/>
      <c r="B58" s="723">
        <f>+B55+1</f>
        <v>52</v>
      </c>
      <c r="C58" s="401" t="s">
        <v>558</v>
      </c>
      <c r="D58" s="402">
        <v>64070054</v>
      </c>
      <c r="E58" s="391">
        <f>'IND (BUS PLUS)'!F123</f>
        <v>0</v>
      </c>
      <c r="F58" s="391">
        <f>'IND (BUS PLUS)'!G123</f>
        <v>0</v>
      </c>
      <c r="G58" s="440"/>
      <c r="H58" s="440"/>
      <c r="I58" s="440"/>
      <c r="M58" s="157"/>
    </row>
    <row r="59" spans="1:13" ht="15.6" x14ac:dyDescent="0.3">
      <c r="A59" s="1040"/>
      <c r="B59" s="723">
        <f t="shared" ref="B59:B64" si="1">+B58+1</f>
        <v>53</v>
      </c>
      <c r="C59" s="401" t="s">
        <v>559</v>
      </c>
      <c r="D59" s="402">
        <v>64070151</v>
      </c>
      <c r="E59" s="391">
        <f>'IND (BUS PLUS)'!F124</f>
        <v>0</v>
      </c>
      <c r="F59" s="391">
        <f>'IND (BUS PLUS)'!G124</f>
        <v>0</v>
      </c>
      <c r="G59" s="440"/>
      <c r="H59" s="440"/>
      <c r="I59" s="440"/>
    </row>
    <row r="60" spans="1:13" ht="15.6" x14ac:dyDescent="0.3">
      <c r="A60" s="1040"/>
      <c r="B60" s="723">
        <f t="shared" si="1"/>
        <v>54</v>
      </c>
      <c r="C60" s="401" t="s">
        <v>560</v>
      </c>
      <c r="D60" s="402">
        <v>64070152</v>
      </c>
      <c r="E60" s="391">
        <f>'IND (BUS PLUS)'!F125</f>
        <v>0</v>
      </c>
      <c r="F60" s="391"/>
      <c r="G60" s="440"/>
      <c r="H60" s="440"/>
      <c r="I60" s="440"/>
    </row>
    <row r="61" spans="1:13" ht="30.6" x14ac:dyDescent="0.3">
      <c r="A61" s="1040"/>
      <c r="B61" s="723">
        <f t="shared" si="1"/>
        <v>55</v>
      </c>
      <c r="C61" s="401" t="s">
        <v>561</v>
      </c>
      <c r="D61" s="402">
        <v>64070153</v>
      </c>
      <c r="E61" s="391">
        <f>'IND (BUS PLUS)'!F126</f>
        <v>0</v>
      </c>
      <c r="F61" s="391">
        <f>'IND (BUS PLUS)'!G126</f>
        <v>0</v>
      </c>
      <c r="G61" s="440"/>
      <c r="H61" s="440"/>
      <c r="I61" s="440"/>
    </row>
    <row r="62" spans="1:13" ht="15.6" x14ac:dyDescent="0.3">
      <c r="A62" s="1040"/>
      <c r="B62" s="723">
        <f t="shared" si="1"/>
        <v>56</v>
      </c>
      <c r="C62" s="401" t="s">
        <v>562</v>
      </c>
      <c r="D62" s="402">
        <v>64070154</v>
      </c>
      <c r="E62" s="391">
        <f>'IND (BUS PLUS)'!F127</f>
        <v>0</v>
      </c>
      <c r="F62" s="391">
        <f>'IND (BUS PLUS)'!G127</f>
        <v>0</v>
      </c>
      <c r="G62" s="440"/>
      <c r="H62" s="440"/>
      <c r="I62" s="440"/>
    </row>
    <row r="63" spans="1:13" ht="15.6" x14ac:dyDescent="0.3">
      <c r="A63" s="1040"/>
      <c r="B63" s="723">
        <f t="shared" si="1"/>
        <v>57</v>
      </c>
      <c r="C63" s="401" t="s">
        <v>563</v>
      </c>
      <c r="D63" s="402">
        <v>64070155</v>
      </c>
      <c r="E63" s="391">
        <f>'IND (BUS PLUS)'!F128</f>
        <v>0</v>
      </c>
      <c r="F63" s="391">
        <f>'IND (BUS PLUS)'!G128</f>
        <v>0</v>
      </c>
      <c r="G63" s="440"/>
      <c r="H63" s="440"/>
      <c r="I63" s="440"/>
    </row>
    <row r="64" spans="1:13" ht="30.6" x14ac:dyDescent="0.3">
      <c r="A64" s="1040"/>
      <c r="B64" s="723">
        <f t="shared" si="1"/>
        <v>58</v>
      </c>
      <c r="C64" s="401" t="s">
        <v>564</v>
      </c>
      <c r="D64" s="402">
        <v>64090151</v>
      </c>
      <c r="E64" s="391">
        <f>'IND (BUS PLUS)'!F137</f>
        <v>0</v>
      </c>
      <c r="F64" s="391">
        <f>'IND (BUS PLUS)'!G137</f>
        <v>0</v>
      </c>
      <c r="G64" s="440"/>
      <c r="H64" s="440"/>
      <c r="I64" s="440"/>
    </row>
    <row r="65" spans="1:9" ht="15.6" x14ac:dyDescent="0.3">
      <c r="A65" s="427" t="s">
        <v>70</v>
      </c>
      <c r="B65" s="428"/>
      <c r="C65" s="429"/>
      <c r="D65" s="430"/>
      <c r="E65" s="431"/>
      <c r="F65" s="432"/>
      <c r="G65" s="446"/>
      <c r="H65" s="446" t="s">
        <v>71</v>
      </c>
      <c r="I65" s="440"/>
    </row>
    <row r="66" spans="1:9" x14ac:dyDescent="0.25">
      <c r="E66"/>
      <c r="F66"/>
      <c r="G66" s="277"/>
      <c r="H66" s="277"/>
      <c r="I66" s="277"/>
    </row>
    <row r="67" spans="1:9" x14ac:dyDescent="0.25">
      <c r="E67"/>
      <c r="F67"/>
      <c r="G67" s="277"/>
      <c r="H67" s="277"/>
      <c r="I67" s="277"/>
    </row>
    <row r="68" spans="1:9" x14ac:dyDescent="0.25">
      <c r="E68"/>
      <c r="F68"/>
      <c r="G68" s="277"/>
      <c r="H68" s="277"/>
      <c r="I68" s="277"/>
    </row>
    <row r="69" spans="1:9" x14ac:dyDescent="0.25">
      <c r="E69"/>
      <c r="F69"/>
      <c r="G69" s="277"/>
      <c r="H69" s="277"/>
      <c r="I69" s="277"/>
    </row>
    <row r="70" spans="1:9" x14ac:dyDescent="0.25">
      <c r="E70"/>
      <c r="F70"/>
      <c r="G70" s="277"/>
      <c r="H70" s="277"/>
      <c r="I70" s="277"/>
    </row>
    <row r="71" spans="1:9" x14ac:dyDescent="0.25">
      <c r="E71"/>
      <c r="F71"/>
      <c r="G71" s="277"/>
      <c r="H71" s="277"/>
      <c r="I71" s="277"/>
    </row>
    <row r="72" spans="1:9" x14ac:dyDescent="0.25">
      <c r="E72"/>
      <c r="F72"/>
      <c r="G72" s="277"/>
      <c r="H72" s="277"/>
      <c r="I72" s="277"/>
    </row>
    <row r="73" spans="1:9" x14ac:dyDescent="0.25">
      <c r="E73"/>
      <c r="F73"/>
      <c r="G73" s="277"/>
      <c r="H73" s="277"/>
      <c r="I73" s="277"/>
    </row>
    <row r="74" spans="1:9" x14ac:dyDescent="0.25">
      <c r="E74"/>
      <c r="F74"/>
      <c r="G74" s="277"/>
      <c r="H74" s="277"/>
      <c r="I74" s="277"/>
    </row>
  </sheetData>
  <sheetProtection selectLockedCells="1" selectUnlockedCells="1"/>
  <mergeCells count="7">
    <mergeCell ref="A58:A64"/>
    <mergeCell ref="A1:I1"/>
    <mergeCell ref="A2:B2"/>
    <mergeCell ref="C2:G2"/>
    <mergeCell ref="A3:B3"/>
    <mergeCell ref="C3:G3"/>
    <mergeCell ref="A5:A39"/>
  </mergeCells>
  <phoneticPr fontId="32" type="noConversion"/>
  <dataValidations count="1">
    <dataValidation type="whole" operator="greaterThanOrEqual" allowBlank="1" showInputMessage="1" showErrorMessage="1" sqref="E12:F55">
      <formula1>0</formula1>
      <formula2>0</formula2>
    </dataValidation>
  </dataValidations>
  <printOptions horizontalCentered="1"/>
  <pageMargins left="0.25" right="0.25" top="0.25" bottom="0.25" header="0.51180555555555551" footer="0.51180555555555551"/>
  <pageSetup scale="68" firstPageNumber="0" fitToHeight="0" orientation="portrait" horizontalDpi="300" verticalDpi="300"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2:W62"/>
  <sheetViews>
    <sheetView topLeftCell="A9" workbookViewId="0">
      <selection activeCell="D29" sqref="D29"/>
    </sheetView>
  </sheetViews>
  <sheetFormatPr defaultRowHeight="13.2" outlineLevelCol="1" x14ac:dyDescent="0.25"/>
  <cols>
    <col min="1" max="1" width="65.33203125" customWidth="1"/>
    <col min="2" max="2" width="13.88671875" customWidth="1"/>
    <col min="3" max="3" width="20.88671875" bestFit="1" customWidth="1"/>
    <col min="4" max="5" width="14.109375" customWidth="1"/>
    <col min="6" max="7" width="14.33203125" customWidth="1"/>
    <col min="8" max="8" width="13" bestFit="1" customWidth="1"/>
    <col min="9" max="9" width="14.44140625" customWidth="1"/>
    <col min="10" max="10" width="2.33203125" customWidth="1"/>
    <col min="11" max="11" width="12.44140625" bestFit="1" customWidth="1"/>
    <col min="12" max="12" width="5.88671875" customWidth="1"/>
    <col min="13" max="13" width="22.44140625" hidden="1" customWidth="1" outlineLevel="1"/>
    <col min="14" max="14" width="12.33203125" hidden="1" customWidth="1" outlineLevel="1"/>
    <col min="15" max="15" width="13.109375" hidden="1" customWidth="1" outlineLevel="1"/>
    <col min="16" max="16" width="20" hidden="1" customWidth="1" outlineLevel="1"/>
    <col min="17" max="17" width="16.33203125" hidden="1" customWidth="1" outlineLevel="1"/>
    <col min="18" max="18" width="20" hidden="1" customWidth="1" outlineLevel="1"/>
    <col min="19" max="19" width="15.5546875" hidden="1" customWidth="1" outlineLevel="1"/>
    <col min="20" max="20" width="13" hidden="1" customWidth="1" outlineLevel="1"/>
    <col min="21" max="21" width="13.33203125" hidden="1" customWidth="1" outlineLevel="1"/>
    <col min="22" max="22" width="9.109375" hidden="1" customWidth="1" outlineLevel="1"/>
    <col min="23" max="23" width="9.109375" collapsed="1"/>
  </cols>
  <sheetData>
    <row r="2" spans="1:21" ht="18.75" customHeight="1" x14ac:dyDescent="0.25">
      <c r="A2" s="1050" t="s">
        <v>607</v>
      </c>
      <c r="B2" s="1050"/>
      <c r="C2" s="1050"/>
      <c r="D2" s="1050"/>
      <c r="E2" s="1050"/>
      <c r="F2" s="1050"/>
      <c r="G2" s="1050"/>
      <c r="H2" s="1050"/>
    </row>
    <row r="3" spans="1:21" ht="18" x14ac:dyDescent="0.35">
      <c r="A3" s="1050"/>
      <c r="B3" s="1050"/>
      <c r="C3" s="1050"/>
      <c r="D3" s="1050"/>
      <c r="E3" s="1050"/>
      <c r="F3" s="1050"/>
      <c r="G3" s="1050"/>
      <c r="H3" s="1050"/>
      <c r="I3" s="454"/>
    </row>
    <row r="4" spans="1:21" ht="15" customHeight="1" x14ac:dyDescent="0.25">
      <c r="A4" s="1050"/>
      <c r="B4" s="1050"/>
      <c r="C4" s="1050"/>
      <c r="D4" s="1050"/>
      <c r="E4" s="1050"/>
      <c r="F4" s="1050"/>
      <c r="G4" s="1050"/>
      <c r="H4" s="1050"/>
      <c r="I4" s="293"/>
    </row>
    <row r="5" spans="1:21" ht="15" thickBot="1" x14ac:dyDescent="0.35">
      <c r="A5" s="1050"/>
      <c r="B5" s="1050"/>
      <c r="C5" s="1050"/>
      <c r="D5" s="1050"/>
      <c r="E5" s="1050"/>
      <c r="F5" s="1050"/>
      <c r="G5" s="1050"/>
      <c r="H5" s="1050"/>
      <c r="I5" s="456"/>
      <c r="M5" s="292"/>
      <c r="N5" s="292" t="s">
        <v>490</v>
      </c>
      <c r="O5" s="292"/>
      <c r="P5" s="292"/>
      <c r="Q5" s="457">
        <f>'IND (BUS PLUS)'!H19</f>
        <v>0</v>
      </c>
      <c r="R5" s="455"/>
      <c r="S5" s="1047" t="s">
        <v>575</v>
      </c>
      <c r="T5" s="1047"/>
      <c r="U5" s="372" t="s">
        <v>655</v>
      </c>
    </row>
    <row r="6" spans="1:21" ht="15" thickBot="1" x14ac:dyDescent="0.35">
      <c r="A6" s="1050"/>
      <c r="B6" s="1050"/>
      <c r="C6" s="1050"/>
      <c r="D6" s="1050"/>
      <c r="E6" s="1050"/>
      <c r="F6" s="1050"/>
      <c r="G6" s="1050"/>
      <c r="H6" s="1050"/>
      <c r="I6" s="458"/>
      <c r="M6" s="292"/>
      <c r="N6" s="294" t="s">
        <v>491</v>
      </c>
      <c r="O6" s="295"/>
      <c r="P6" s="295"/>
      <c r="Q6" s="376">
        <f>S23</f>
        <v>0</v>
      </c>
      <c r="R6" s="1048" t="s">
        <v>591</v>
      </c>
      <c r="S6" s="1048"/>
      <c r="T6" s="1049"/>
      <c r="U6" s="357" t="e">
        <f>U23-U5</f>
        <v>#VALUE!</v>
      </c>
    </row>
    <row r="7" spans="1:21" ht="14.4" thickTop="1" thickBot="1" x14ac:dyDescent="0.3">
      <c r="A7" s="1050"/>
      <c r="B7" s="1050"/>
      <c r="C7" s="1050"/>
      <c r="D7" s="1050"/>
      <c r="E7" s="1050"/>
      <c r="F7" s="1050"/>
      <c r="G7" s="1050"/>
      <c r="H7" s="1050"/>
      <c r="I7" s="459"/>
      <c r="M7" s="292"/>
      <c r="N7" s="292"/>
      <c r="O7" s="292"/>
      <c r="P7" s="292"/>
      <c r="Q7" s="292"/>
      <c r="R7" s="292"/>
      <c r="S7" s="292"/>
      <c r="T7" s="293"/>
      <c r="U7" s="293"/>
    </row>
    <row r="8" spans="1:21" ht="53.4" thickBot="1" x14ac:dyDescent="0.3">
      <c r="A8" s="1050"/>
      <c r="B8" s="1050"/>
      <c r="C8" s="1050"/>
      <c r="D8" s="1050"/>
      <c r="E8" s="1050"/>
      <c r="F8" s="1050"/>
      <c r="G8" s="1050"/>
      <c r="H8" s="1050"/>
      <c r="I8" s="460"/>
      <c r="M8" s="314" t="s">
        <v>492</v>
      </c>
      <c r="N8" s="315" t="s">
        <v>493</v>
      </c>
      <c r="O8" s="315" t="s">
        <v>483</v>
      </c>
      <c r="P8" s="315" t="s">
        <v>494</v>
      </c>
      <c r="Q8" s="315" t="s">
        <v>495</v>
      </c>
      <c r="R8" s="315" t="s">
        <v>496</v>
      </c>
      <c r="S8" s="315" t="s">
        <v>604</v>
      </c>
      <c r="T8" s="359" t="s">
        <v>497</v>
      </c>
      <c r="U8" s="371" t="s">
        <v>576</v>
      </c>
    </row>
    <row r="9" spans="1:21" ht="14.4" x14ac:dyDescent="0.3">
      <c r="A9" s="1050"/>
      <c r="B9" s="1050"/>
      <c r="C9" s="1050"/>
      <c r="D9" s="1050"/>
      <c r="E9" s="1050"/>
      <c r="F9" s="1050"/>
      <c r="G9" s="1050"/>
      <c r="H9" s="1050"/>
      <c r="M9" s="461">
        <v>1</v>
      </c>
      <c r="N9" s="683">
        <v>0</v>
      </c>
      <c r="O9" s="684"/>
      <c r="P9" s="712">
        <v>600000</v>
      </c>
      <c r="Q9" s="685">
        <v>0</v>
      </c>
      <c r="R9" s="683">
        <v>0</v>
      </c>
      <c r="S9" s="368">
        <f>Q5</f>
        <v>0</v>
      </c>
      <c r="T9" s="368">
        <f>IF(AND(S9&gt;=N9,S9&lt;P9),(S9-N9)*Q9+R9,0)</f>
        <v>0</v>
      </c>
      <c r="U9" s="370">
        <f>IF(AND(U5&gt;=R9,U5&lt;R10),(U5-R9)/Q9+N9,0)</f>
        <v>0</v>
      </c>
    </row>
    <row r="10" spans="1:21" ht="18.75" customHeight="1" x14ac:dyDescent="0.3">
      <c r="A10" s="1050"/>
      <c r="B10" s="1050"/>
      <c r="C10" s="1050"/>
      <c r="D10" s="1050"/>
      <c r="E10" s="1050"/>
      <c r="F10" s="1050"/>
      <c r="G10" s="1050"/>
      <c r="H10" s="1050"/>
      <c r="M10" s="461">
        <v>2</v>
      </c>
      <c r="N10" s="683">
        <f>P9</f>
        <v>600000</v>
      </c>
      <c r="O10" s="686" t="s">
        <v>498</v>
      </c>
      <c r="P10" s="712">
        <v>800000</v>
      </c>
      <c r="Q10" s="685">
        <v>7.4999999999999997E-2</v>
      </c>
      <c r="R10" s="358"/>
      <c r="S10" s="368">
        <f>Q5</f>
        <v>0</v>
      </c>
      <c r="T10" s="368">
        <f t="shared" ref="T10:T15" si="0">IF(AND(S10&gt;=N10,S10&lt;P10),(S10-N10)*Q10+R10,0)</f>
        <v>0</v>
      </c>
      <c r="U10" s="369">
        <f>IF(AND(U5&gt;=R10,U5&lt;R11),(U5-R10)/Q10+N10,0)</f>
        <v>0</v>
      </c>
    </row>
    <row r="11" spans="1:21" ht="18.75" customHeight="1" x14ac:dyDescent="0.3">
      <c r="A11" s="1050"/>
      <c r="B11" s="1050"/>
      <c r="C11" s="1050"/>
      <c r="D11" s="1050"/>
      <c r="E11" s="1050"/>
      <c r="F11" s="1050"/>
      <c r="G11" s="1050"/>
      <c r="H11" s="1050"/>
      <c r="M11" s="461">
        <v>3</v>
      </c>
      <c r="N11" s="683">
        <f>P10</f>
        <v>800000</v>
      </c>
      <c r="O11" s="686" t="s">
        <v>498</v>
      </c>
      <c r="P11" s="712">
        <v>1200000</v>
      </c>
      <c r="Q11" s="711">
        <v>0.15</v>
      </c>
      <c r="R11" s="712">
        <f t="shared" ref="R11:R14" si="1">R10 + (P10-P9) *Q10</f>
        <v>15000</v>
      </c>
      <c r="S11" s="368">
        <f>Q5</f>
        <v>0</v>
      </c>
      <c r="T11" s="368">
        <f t="shared" si="0"/>
        <v>0</v>
      </c>
      <c r="U11" s="370">
        <f>IF(AND(U5&gt;=R11,U5&lt;R12),(U5-R11)/Q11+N11,0)</f>
        <v>0</v>
      </c>
    </row>
    <row r="12" spans="1:21" ht="18.75" customHeight="1" x14ac:dyDescent="0.3">
      <c r="A12" s="1050"/>
      <c r="B12" s="1050"/>
      <c r="C12" s="1050"/>
      <c r="D12" s="1050"/>
      <c r="E12" s="1050"/>
      <c r="F12" s="1050"/>
      <c r="G12" s="1050"/>
      <c r="H12" s="1050"/>
      <c r="M12" s="461">
        <v>4</v>
      </c>
      <c r="N12" s="683">
        <f>P11</f>
        <v>1200000</v>
      </c>
      <c r="O12" s="686" t="s">
        <v>498</v>
      </c>
      <c r="P12" s="712">
        <v>2400000</v>
      </c>
      <c r="Q12" s="711">
        <v>0.2</v>
      </c>
      <c r="R12" s="712">
        <f t="shared" si="1"/>
        <v>75000</v>
      </c>
      <c r="S12" s="368">
        <f>Q5</f>
        <v>0</v>
      </c>
      <c r="T12" s="368">
        <f t="shared" si="0"/>
        <v>0</v>
      </c>
      <c r="U12" s="369">
        <f>IF(AND(U5&gt;=R12,U5&lt;R13),(U5-R12)/Q12+N12,0)</f>
        <v>0</v>
      </c>
    </row>
    <row r="13" spans="1:21" ht="18.75" customHeight="1" x14ac:dyDescent="0.3">
      <c r="A13" s="1050"/>
      <c r="B13" s="1050"/>
      <c r="C13" s="1050"/>
      <c r="D13" s="1050"/>
      <c r="E13" s="1050"/>
      <c r="F13" s="1050"/>
      <c r="G13" s="1050"/>
      <c r="H13" s="1050"/>
      <c r="M13" s="461">
        <v>5</v>
      </c>
      <c r="N13" s="683">
        <f>P12</f>
        <v>2400000</v>
      </c>
      <c r="O13" s="686" t="s">
        <v>498</v>
      </c>
      <c r="P13" s="712">
        <v>3000000</v>
      </c>
      <c r="Q13" s="711">
        <v>0.25</v>
      </c>
      <c r="R13" s="712">
        <f t="shared" si="1"/>
        <v>315000</v>
      </c>
      <c r="S13" s="368">
        <f>Q5</f>
        <v>0</v>
      </c>
      <c r="T13" s="368">
        <f t="shared" si="0"/>
        <v>0</v>
      </c>
      <c r="U13" s="370">
        <f>IF(AND(U5&gt;=R13,U5&lt;R14),(U5-R13)/Q13+N13,0)</f>
        <v>0</v>
      </c>
    </row>
    <row r="14" spans="1:21" ht="18.75" customHeight="1" x14ac:dyDescent="0.3">
      <c r="A14" s="1050"/>
      <c r="B14" s="1050"/>
      <c r="C14" s="1050"/>
      <c r="D14" s="1050"/>
      <c r="E14" s="1050"/>
      <c r="F14" s="1050"/>
      <c r="G14" s="1050"/>
      <c r="H14" s="1050"/>
      <c r="M14" s="461">
        <v>6</v>
      </c>
      <c r="N14" s="683">
        <f t="shared" ref="N14:N15" si="2">P13</f>
        <v>3000000</v>
      </c>
      <c r="O14" s="686" t="s">
        <v>498</v>
      </c>
      <c r="P14" s="712">
        <v>4000000</v>
      </c>
      <c r="Q14" s="711">
        <v>0.3</v>
      </c>
      <c r="R14" s="712">
        <f t="shared" si="1"/>
        <v>465000</v>
      </c>
      <c r="S14" s="368">
        <f>Q5</f>
        <v>0</v>
      </c>
      <c r="T14" s="368">
        <f t="shared" si="0"/>
        <v>0</v>
      </c>
      <c r="U14" s="369">
        <f>IF(AND(U5&gt;=R14,U5&lt;R15),(U5-R14)/Q14+N14,0)</f>
        <v>0</v>
      </c>
    </row>
    <row r="15" spans="1:21" ht="18.75" customHeight="1" x14ac:dyDescent="0.3">
      <c r="A15" s="1050"/>
      <c r="B15" s="1050"/>
      <c r="C15" s="1050"/>
      <c r="D15" s="1050"/>
      <c r="E15" s="1050"/>
      <c r="F15" s="1050"/>
      <c r="G15" s="1050"/>
      <c r="H15" s="1050"/>
      <c r="M15" s="461">
        <v>7</v>
      </c>
      <c r="N15" s="683">
        <f t="shared" si="2"/>
        <v>4000000</v>
      </c>
      <c r="O15" s="686" t="s">
        <v>498</v>
      </c>
      <c r="P15" s="358">
        <v>999999999999999</v>
      </c>
      <c r="Q15" s="711">
        <v>0.35</v>
      </c>
      <c r="R15" s="712">
        <f>R14 + (P14-P13) *Q14</f>
        <v>765000</v>
      </c>
      <c r="S15" s="368">
        <f>Q5</f>
        <v>0</v>
      </c>
      <c r="T15" s="368">
        <f t="shared" si="0"/>
        <v>0</v>
      </c>
      <c r="U15" s="370">
        <f>IF(AND(U5&gt;=R15,U5&lt;R16),(U5-R15)/Q15+N15,0)</f>
        <v>0</v>
      </c>
    </row>
    <row r="16" spans="1:21" ht="18.75" customHeight="1" x14ac:dyDescent="0.3">
      <c r="A16" s="1050"/>
      <c r="B16" s="1050"/>
      <c r="C16" s="1050"/>
      <c r="D16" s="1050"/>
      <c r="E16" s="1050"/>
      <c r="F16" s="1050"/>
      <c r="G16" s="1050"/>
      <c r="H16" s="1050"/>
      <c r="M16" s="461"/>
      <c r="N16" s="683"/>
      <c r="O16" s="686"/>
      <c r="P16" s="358">
        <v>999999999999999</v>
      </c>
      <c r="Q16" s="711"/>
      <c r="R16" s="358">
        <v>999999999999999</v>
      </c>
      <c r="S16" s="368">
        <f>Q5</f>
        <v>0</v>
      </c>
      <c r="T16" s="462">
        <v>0</v>
      </c>
      <c r="U16" s="465">
        <f>IF(AND(U5&gt;=R16,U5&lt;R17),(U5-R16)/Q16+N16,0)</f>
        <v>0</v>
      </c>
    </row>
    <row r="17" spans="1:21" ht="18.75" customHeight="1" x14ac:dyDescent="0.3">
      <c r="A17" s="1050"/>
      <c r="B17" s="1050"/>
      <c r="C17" s="1050"/>
      <c r="D17" s="1050"/>
      <c r="E17" s="1050"/>
      <c r="F17" s="1050"/>
      <c r="G17" s="1050"/>
      <c r="H17" s="1050"/>
      <c r="M17" s="466"/>
      <c r="N17" s="683"/>
      <c r="O17" s="684"/>
      <c r="P17" s="683"/>
      <c r="Q17" s="685"/>
      <c r="R17" s="358"/>
      <c r="S17" s="462"/>
      <c r="T17" s="462"/>
      <c r="U17" s="467"/>
    </row>
    <row r="18" spans="1:21" ht="18.75" customHeight="1" x14ac:dyDescent="0.3">
      <c r="A18" s="1050"/>
      <c r="B18" s="1050"/>
      <c r="C18" s="1050"/>
      <c r="D18" s="1050"/>
      <c r="E18" s="1050"/>
      <c r="F18" s="1050"/>
      <c r="G18" s="1050"/>
      <c r="H18" s="1050"/>
      <c r="M18" s="466"/>
      <c r="N18" s="462"/>
      <c r="O18" s="463"/>
      <c r="P18" s="462"/>
      <c r="Q18" s="464"/>
      <c r="R18" s="462"/>
      <c r="S18" s="462"/>
      <c r="T18" s="462"/>
      <c r="U18" s="465"/>
    </row>
    <row r="19" spans="1:21" ht="18.75" customHeight="1" x14ac:dyDescent="0.3">
      <c r="A19" s="1050"/>
      <c r="B19" s="1050"/>
      <c r="C19" s="1050"/>
      <c r="D19" s="1050"/>
      <c r="E19" s="1050"/>
      <c r="F19" s="1050"/>
      <c r="G19" s="1050"/>
      <c r="H19" s="1050"/>
      <c r="M19" s="466"/>
      <c r="N19" s="462"/>
      <c r="O19" s="463"/>
      <c r="P19" s="462"/>
      <c r="Q19" s="464"/>
      <c r="R19" s="462"/>
      <c r="S19" s="462"/>
      <c r="T19" s="462"/>
      <c r="U19" s="467"/>
    </row>
    <row r="20" spans="1:21" ht="18.75" customHeight="1" x14ac:dyDescent="0.3">
      <c r="A20" s="1050"/>
      <c r="B20" s="1050"/>
      <c r="C20" s="1050"/>
      <c r="D20" s="1050"/>
      <c r="E20" s="1050"/>
      <c r="F20" s="1050"/>
      <c r="G20" s="1050"/>
      <c r="H20" s="1050"/>
      <c r="M20" s="466"/>
      <c r="N20" s="462"/>
      <c r="O20" s="463"/>
      <c r="P20" s="462"/>
      <c r="Q20" s="464"/>
      <c r="R20" s="462"/>
      <c r="S20" s="462"/>
      <c r="T20" s="462"/>
      <c r="U20" s="465"/>
    </row>
    <row r="21" spans="1:21" ht="18.75" customHeight="1" x14ac:dyDescent="0.3">
      <c r="A21" s="1050"/>
      <c r="B21" s="1050"/>
      <c r="C21" s="1050"/>
      <c r="D21" s="1050"/>
      <c r="E21" s="1050"/>
      <c r="F21" s="1050"/>
      <c r="G21" s="1050"/>
      <c r="H21" s="1050"/>
      <c r="M21" s="466"/>
      <c r="N21" s="462"/>
      <c r="O21" s="463"/>
      <c r="P21" s="462"/>
      <c r="Q21" s="468"/>
      <c r="R21" s="468"/>
      <c r="S21" s="463"/>
      <c r="T21" s="463"/>
      <c r="U21" s="469"/>
    </row>
    <row r="22" spans="1:21" ht="19.5" customHeight="1" thickBot="1" x14ac:dyDescent="0.35">
      <c r="A22" s="1050"/>
      <c r="B22" s="1050"/>
      <c r="C22" s="1050"/>
      <c r="D22" s="1050"/>
      <c r="E22" s="1050"/>
      <c r="F22" s="1050"/>
      <c r="G22" s="1050"/>
      <c r="H22" s="1050"/>
      <c r="M22" s="466"/>
      <c r="N22" s="463"/>
      <c r="O22" s="463"/>
      <c r="P22" s="463"/>
      <c r="Q22" s="468"/>
      <c r="R22" s="468"/>
      <c r="S22" s="463"/>
      <c r="T22" s="463"/>
      <c r="U22" s="470"/>
    </row>
    <row r="23" spans="1:21" ht="19.5" customHeight="1" thickBot="1" x14ac:dyDescent="0.4">
      <c r="A23" s="1046"/>
      <c r="B23" s="1046"/>
      <c r="C23" s="1046"/>
      <c r="D23" s="1046"/>
      <c r="E23" s="1046"/>
      <c r="F23" s="1046"/>
      <c r="G23" s="1046"/>
      <c r="H23" s="1046"/>
      <c r="M23" s="466"/>
      <c r="N23" s="463"/>
      <c r="O23" s="463" t="s">
        <v>499</v>
      </c>
      <c r="P23" s="463"/>
      <c r="Q23" s="468"/>
      <c r="R23" s="468"/>
      <c r="S23" s="463">
        <f>SUBTOTAL(109,T9:T22)</f>
        <v>0</v>
      </c>
      <c r="T23" s="463"/>
      <c r="U23" s="471">
        <f>SUBTOTAL(109,U9:U22)</f>
        <v>0</v>
      </c>
    </row>
    <row r="24" spans="1:21" ht="15" thickBot="1" x14ac:dyDescent="0.35">
      <c r="M24" s="466"/>
      <c r="N24" s="463"/>
      <c r="O24" s="463"/>
      <c r="P24" s="463"/>
      <c r="Q24" s="468"/>
      <c r="R24" s="468"/>
      <c r="S24" s="463"/>
      <c r="T24" s="463"/>
      <c r="U24" s="472"/>
    </row>
    <row r="25" spans="1:21" x14ac:dyDescent="0.25">
      <c r="M25" s="356"/>
    </row>
    <row r="27" spans="1:21" ht="52.8" x14ac:dyDescent="0.3">
      <c r="A27" s="373"/>
      <c r="B27" s="373" t="s">
        <v>653</v>
      </c>
      <c r="C27" s="315" t="s">
        <v>656</v>
      </c>
      <c r="D27" s="315" t="s">
        <v>605</v>
      </c>
      <c r="E27" s="315" t="s">
        <v>652</v>
      </c>
      <c r="F27" s="315" t="s">
        <v>606</v>
      </c>
      <c r="G27" s="315" t="s">
        <v>654</v>
      </c>
      <c r="H27" s="315" t="s">
        <v>608</v>
      </c>
      <c r="I27" s="374" t="s">
        <v>609</v>
      </c>
      <c r="K27" s="375">
        <f>IF(M27&gt;F27,(M27-F27),0)</f>
        <v>0</v>
      </c>
    </row>
    <row r="28" spans="1:21" ht="15" customHeight="1" x14ac:dyDescent="0.3">
      <c r="A28" s="474" t="s">
        <v>84</v>
      </c>
      <c r="B28" s="481">
        <f t="shared" ref="B28:B32" si="3">IF(E28&gt;0,$Q$5,0)</f>
        <v>0</v>
      </c>
      <c r="C28" s="482">
        <f>IF(E28&gt;0,$Q$6,0)</f>
        <v>0</v>
      </c>
      <c r="D28" s="377">
        <f>IF(E28&gt;0,'Work Sheet'!$D$2,0)</f>
        <v>0</v>
      </c>
      <c r="E28" s="473">
        <f>'IND (BUS PLUS)'!F83</f>
        <v>0</v>
      </c>
      <c r="F28" s="473">
        <f>'IND (BUS PLUS)'!G83</f>
        <v>0</v>
      </c>
      <c r="G28" s="483">
        <f>IF(B28&gt;0,(B28/D28)*E28,0)</f>
        <v>0</v>
      </c>
      <c r="H28" s="375">
        <f>IF(C28&gt;0,C28/D28*E28,0)</f>
        <v>0</v>
      </c>
      <c r="I28" s="375">
        <f>IF(H28&gt;=F28,"0",(F28-H28))+K28</f>
        <v>0</v>
      </c>
      <c r="K28" s="375">
        <f t="shared" ref="K28:K45" si="4">M28-F28</f>
        <v>0</v>
      </c>
      <c r="M28" s="477">
        <f t="shared" ref="M28:M45" si="5">E28*N28</f>
        <v>0</v>
      </c>
      <c r="N28" s="479">
        <v>0.01</v>
      </c>
    </row>
    <row r="29" spans="1:21" ht="15" customHeight="1" x14ac:dyDescent="0.3">
      <c r="A29" s="475" t="s">
        <v>85</v>
      </c>
      <c r="B29" s="481">
        <f t="shared" si="3"/>
        <v>0</v>
      </c>
      <c r="C29" s="482">
        <f t="shared" ref="C29:C60" si="6">IF(E29&gt;0,$Q$6,0)</f>
        <v>0</v>
      </c>
      <c r="D29" s="377">
        <f>IF(E29&gt;0,'Work Sheet'!$D$2,0)</f>
        <v>0</v>
      </c>
      <c r="E29" s="473">
        <f>'IND (BUS PLUS)'!F84</f>
        <v>0</v>
      </c>
      <c r="F29" s="473">
        <f>'IND (BUS PLUS)'!G84</f>
        <v>0</v>
      </c>
      <c r="G29" s="483">
        <f t="shared" ref="G29:G38" si="7">IF(B29&gt;0,B29/D29*E29,0)</f>
        <v>0</v>
      </c>
      <c r="H29" s="375">
        <f t="shared" ref="H29:H60" si="8">IF(C29&gt;0,C29/D29*E29,0)</f>
        <v>0</v>
      </c>
      <c r="I29" s="375">
        <f t="shared" ref="I29:I45" si="9">IF(H29&gt;=F29,"0",(F29-H29))+K29</f>
        <v>0</v>
      </c>
      <c r="K29" s="375">
        <f t="shared" si="4"/>
        <v>0</v>
      </c>
      <c r="M29" s="477">
        <f t="shared" si="5"/>
        <v>0</v>
      </c>
      <c r="N29" s="479">
        <v>0.02</v>
      </c>
    </row>
    <row r="30" spans="1:21" ht="15" customHeight="1" x14ac:dyDescent="0.3">
      <c r="A30" s="475" t="s">
        <v>86</v>
      </c>
      <c r="B30" s="481">
        <f t="shared" si="3"/>
        <v>0</v>
      </c>
      <c r="C30" s="482">
        <f t="shared" si="6"/>
        <v>0</v>
      </c>
      <c r="D30" s="377">
        <f>IF(E30&gt;0,'Work Sheet'!$D$2,0)</f>
        <v>0</v>
      </c>
      <c r="E30" s="473">
        <f>'IND (BUS PLUS)'!F85</f>
        <v>0</v>
      </c>
      <c r="F30" s="473">
        <f>'IND (BUS PLUS)'!G85</f>
        <v>0</v>
      </c>
      <c r="G30" s="483">
        <f t="shared" si="7"/>
        <v>0</v>
      </c>
      <c r="H30" s="375">
        <f t="shared" si="8"/>
        <v>0</v>
      </c>
      <c r="I30" s="375">
        <f t="shared" si="9"/>
        <v>0</v>
      </c>
      <c r="K30" s="375">
        <f t="shared" si="4"/>
        <v>0</v>
      </c>
      <c r="M30" s="477">
        <f t="shared" si="5"/>
        <v>0</v>
      </c>
      <c r="N30" s="479">
        <v>0.03</v>
      </c>
    </row>
    <row r="31" spans="1:21" ht="15" customHeight="1" x14ac:dyDescent="0.3">
      <c r="A31" s="724" t="s">
        <v>720</v>
      </c>
      <c r="B31" s="481">
        <f t="shared" ref="B31" si="10">IF(E31&gt;0,$Q$5,0)</f>
        <v>0</v>
      </c>
      <c r="C31" s="482">
        <f t="shared" ref="C31" si="11">IF(E31&gt;0,$Q$6,0)</f>
        <v>0</v>
      </c>
      <c r="D31" s="377">
        <f>IF(E31&gt;0,'Work Sheet'!$D$2,0)</f>
        <v>0</v>
      </c>
      <c r="E31" s="473">
        <f>'IND (BUS PLUS)'!F86</f>
        <v>0</v>
      </c>
      <c r="F31" s="473">
        <f>'IND (BUS PLUS)'!G86</f>
        <v>0</v>
      </c>
      <c r="G31" s="483">
        <f t="shared" ref="G31" si="12">IF(B31&gt;0,B31/D31*E31,0)</f>
        <v>0</v>
      </c>
      <c r="H31" s="375">
        <f t="shared" ref="H31" si="13">IF(C31&gt;0,C31/D31*E31,0)</f>
        <v>0</v>
      </c>
      <c r="I31" s="375">
        <f t="shared" ref="I31" si="14">IF(H31&gt;=F31,"0",(F31-H31))+K31</f>
        <v>0</v>
      </c>
      <c r="K31" s="375">
        <f t="shared" ref="K31" si="15">M31-F31</f>
        <v>0</v>
      </c>
      <c r="M31" s="477">
        <f t="shared" ref="M31" si="16">E31*N31</f>
        <v>0</v>
      </c>
      <c r="N31" s="479">
        <v>3.5000000000000003E-2</v>
      </c>
    </row>
    <row r="32" spans="1:21" ht="15" customHeight="1" x14ac:dyDescent="0.3">
      <c r="A32" s="475" t="s">
        <v>594</v>
      </c>
      <c r="B32" s="481">
        <f t="shared" si="3"/>
        <v>0</v>
      </c>
      <c r="C32" s="482">
        <f t="shared" si="6"/>
        <v>0</v>
      </c>
      <c r="D32" s="377">
        <f>IF(E32&gt;0,'Work Sheet'!$D$2,0)</f>
        <v>0</v>
      </c>
      <c r="E32" s="473">
        <f>'IND (BUS PLUS)'!F87</f>
        <v>0</v>
      </c>
      <c r="F32" s="473">
        <f>'IND (BUS PLUS)'!G87</f>
        <v>0</v>
      </c>
      <c r="G32" s="483">
        <f t="shared" si="7"/>
        <v>0</v>
      </c>
      <c r="H32" s="375">
        <f t="shared" si="8"/>
        <v>0</v>
      </c>
      <c r="I32" s="375">
        <f t="shared" si="9"/>
        <v>0</v>
      </c>
      <c r="K32" s="375">
        <f t="shared" si="4"/>
        <v>0</v>
      </c>
      <c r="M32" s="477">
        <f t="shared" si="5"/>
        <v>0</v>
      </c>
      <c r="N32" s="479">
        <v>0.04</v>
      </c>
    </row>
    <row r="33" spans="1:14" ht="15" customHeight="1" x14ac:dyDescent="0.3">
      <c r="A33" s="475" t="s">
        <v>87</v>
      </c>
      <c r="B33" s="481">
        <v>0</v>
      </c>
      <c r="C33" s="482">
        <f t="shared" si="6"/>
        <v>0</v>
      </c>
      <c r="D33" s="377">
        <f>IF(E33&gt;0,'Work Sheet'!$D$2,0)</f>
        <v>0</v>
      </c>
      <c r="E33" s="473">
        <v>0</v>
      </c>
      <c r="F33" s="473">
        <v>0</v>
      </c>
      <c r="G33" s="483">
        <f t="shared" si="7"/>
        <v>0</v>
      </c>
      <c r="H33" s="375">
        <f t="shared" si="8"/>
        <v>0</v>
      </c>
      <c r="I33" s="375">
        <f t="shared" si="9"/>
        <v>0</v>
      </c>
      <c r="K33" s="375">
        <f t="shared" si="4"/>
        <v>0</v>
      </c>
      <c r="M33" s="477">
        <f t="shared" si="5"/>
        <v>0</v>
      </c>
      <c r="N33" s="479">
        <v>4.4999999999999998E-2</v>
      </c>
    </row>
    <row r="34" spans="1:14" ht="15" customHeight="1" x14ac:dyDescent="0.3">
      <c r="A34" s="475" t="s">
        <v>88</v>
      </c>
      <c r="B34" s="481">
        <f>IF(E34&gt;0,$Q$5,0)</f>
        <v>0</v>
      </c>
      <c r="C34" s="482">
        <f t="shared" si="6"/>
        <v>0</v>
      </c>
      <c r="D34" s="377">
        <f>IF(E34&gt;0,'Work Sheet'!$D$2,0)</f>
        <v>0</v>
      </c>
      <c r="E34" s="473">
        <v>0</v>
      </c>
      <c r="F34" s="473">
        <v>0</v>
      </c>
      <c r="G34" s="483">
        <f t="shared" si="7"/>
        <v>0</v>
      </c>
      <c r="H34" s="375">
        <f t="shared" si="8"/>
        <v>0</v>
      </c>
      <c r="I34" s="375">
        <f t="shared" si="9"/>
        <v>0</v>
      </c>
      <c r="K34" s="375">
        <f t="shared" si="4"/>
        <v>0</v>
      </c>
      <c r="M34" s="477">
        <f t="shared" si="5"/>
        <v>0</v>
      </c>
      <c r="N34" s="479">
        <v>0.06</v>
      </c>
    </row>
    <row r="35" spans="1:14" ht="15" customHeight="1" x14ac:dyDescent="0.3">
      <c r="A35" s="475" t="s">
        <v>580</v>
      </c>
      <c r="B35" s="481">
        <f t="shared" ref="B35:B60" si="17">IF(E35&gt;0,$Q$5,0)</f>
        <v>0</v>
      </c>
      <c r="C35" s="482">
        <f t="shared" si="6"/>
        <v>0</v>
      </c>
      <c r="D35" s="377">
        <f>IF(E35&gt;0,'Work Sheet'!$D$2,0)</f>
        <v>0</v>
      </c>
      <c r="E35" s="473">
        <v>0</v>
      </c>
      <c r="F35" s="473">
        <v>0</v>
      </c>
      <c r="G35" s="482">
        <f t="shared" si="7"/>
        <v>0</v>
      </c>
      <c r="H35" s="375">
        <f t="shared" si="8"/>
        <v>0</v>
      </c>
      <c r="I35" s="375">
        <f t="shared" si="9"/>
        <v>0</v>
      </c>
      <c r="K35" s="375">
        <f t="shared" si="4"/>
        <v>0</v>
      </c>
      <c r="M35" s="477">
        <f t="shared" si="5"/>
        <v>0</v>
      </c>
      <c r="N35" s="479">
        <v>1.7500000000000002E-2</v>
      </c>
    </row>
    <row r="36" spans="1:14" ht="15" customHeight="1" x14ac:dyDescent="0.3">
      <c r="A36" s="475" t="s">
        <v>581</v>
      </c>
      <c r="B36" s="481">
        <f t="shared" si="17"/>
        <v>0</v>
      </c>
      <c r="C36" s="482">
        <f t="shared" si="6"/>
        <v>0</v>
      </c>
      <c r="D36" s="377">
        <f>IF(E36&gt;0,'Work Sheet'!$D$2,0)</f>
        <v>0</v>
      </c>
      <c r="E36" s="473">
        <v>0</v>
      </c>
      <c r="F36" s="473">
        <v>0</v>
      </c>
      <c r="G36" s="482">
        <f t="shared" si="7"/>
        <v>0</v>
      </c>
      <c r="H36" s="375">
        <f t="shared" si="8"/>
        <v>0</v>
      </c>
      <c r="I36" s="375">
        <f t="shared" si="9"/>
        <v>0</v>
      </c>
      <c r="K36" s="375">
        <f t="shared" si="4"/>
        <v>0</v>
      </c>
      <c r="M36" s="477">
        <f t="shared" si="5"/>
        <v>0</v>
      </c>
      <c r="N36" s="479">
        <v>2.75E-2</v>
      </c>
    </row>
    <row r="37" spans="1:14" ht="15" customHeight="1" x14ac:dyDescent="0.3">
      <c r="A37" s="475" t="s">
        <v>582</v>
      </c>
      <c r="B37" s="481">
        <f t="shared" si="17"/>
        <v>0</v>
      </c>
      <c r="C37" s="482">
        <f t="shared" si="6"/>
        <v>0</v>
      </c>
      <c r="D37" s="377">
        <f>IF(E37&gt;0,'Work Sheet'!$D$2,0)</f>
        <v>0</v>
      </c>
      <c r="E37" s="473">
        <v>0</v>
      </c>
      <c r="F37" s="473">
        <v>0</v>
      </c>
      <c r="G37" s="482">
        <f t="shared" si="7"/>
        <v>0</v>
      </c>
      <c r="H37" s="375">
        <f t="shared" si="8"/>
        <v>0</v>
      </c>
      <c r="I37" s="375">
        <f t="shared" si="9"/>
        <v>0</v>
      </c>
      <c r="K37" s="375">
        <f t="shared" si="4"/>
        <v>0</v>
      </c>
      <c r="M37" s="477">
        <f t="shared" si="5"/>
        <v>0</v>
      </c>
      <c r="N37" s="479">
        <v>4.1250000000000002E-2</v>
      </c>
    </row>
    <row r="38" spans="1:14" ht="15" customHeight="1" x14ac:dyDescent="0.3">
      <c r="A38" s="475" t="s">
        <v>220</v>
      </c>
      <c r="B38" s="481">
        <f t="shared" si="17"/>
        <v>0</v>
      </c>
      <c r="C38" s="482">
        <f t="shared" si="6"/>
        <v>0</v>
      </c>
      <c r="D38" s="377">
        <f>IF(E38&gt;0,'Work Sheet'!$D$2,0)</f>
        <v>0</v>
      </c>
      <c r="E38" s="473">
        <f>'IND (BUS PLUS)'!F89</f>
        <v>0</v>
      </c>
      <c r="F38" s="473">
        <f>'IND (BUS PLUS)'!G88</f>
        <v>0</v>
      </c>
      <c r="G38" s="483">
        <f t="shared" si="7"/>
        <v>0</v>
      </c>
      <c r="H38" s="375">
        <f t="shared" si="8"/>
        <v>0</v>
      </c>
      <c r="I38" s="375">
        <f t="shared" si="9"/>
        <v>0</v>
      </c>
      <c r="K38" s="375">
        <f t="shared" si="4"/>
        <v>0</v>
      </c>
      <c r="M38" s="477">
        <f t="shared" si="5"/>
        <v>0</v>
      </c>
      <c r="N38" s="479">
        <v>5.5E-2</v>
      </c>
    </row>
    <row r="39" spans="1:14" ht="15" customHeight="1" x14ac:dyDescent="0.3">
      <c r="A39" s="478" t="s">
        <v>433</v>
      </c>
      <c r="B39" s="481">
        <f t="shared" si="17"/>
        <v>0</v>
      </c>
      <c r="C39" s="482">
        <f t="shared" si="6"/>
        <v>0</v>
      </c>
      <c r="D39" s="377">
        <f>IF(E39&gt;0,'Work Sheet'!$D$2,0)</f>
        <v>0</v>
      </c>
      <c r="E39" s="473">
        <f>'IND (BUS PLUS)'!F98</f>
        <v>0</v>
      </c>
      <c r="F39" s="473">
        <f>'IND (BUS PLUS)'!G98</f>
        <v>0</v>
      </c>
      <c r="G39" s="473">
        <f t="shared" ref="G39:G60" si="18">IF(B39&gt;0,B39/D39*E39,0)</f>
        <v>0</v>
      </c>
      <c r="H39" s="375">
        <f t="shared" si="8"/>
        <v>0</v>
      </c>
      <c r="I39" s="375">
        <f t="shared" si="9"/>
        <v>0</v>
      </c>
      <c r="K39" s="375">
        <f t="shared" si="4"/>
        <v>0</v>
      </c>
      <c r="M39" s="477">
        <f t="shared" si="5"/>
        <v>0</v>
      </c>
      <c r="N39" s="479"/>
    </row>
    <row r="40" spans="1:14" ht="15" customHeight="1" x14ac:dyDescent="0.3">
      <c r="A40" s="478" t="s">
        <v>434</v>
      </c>
      <c r="B40" s="481">
        <f t="shared" si="17"/>
        <v>0</v>
      </c>
      <c r="C40" s="482">
        <f t="shared" si="6"/>
        <v>0</v>
      </c>
      <c r="D40" s="377">
        <f>IF(E40&gt;0,'Work Sheet'!$D$2,0)</f>
        <v>0</v>
      </c>
      <c r="E40" s="473">
        <f>'IND (BUS PLUS)'!F99</f>
        <v>0</v>
      </c>
      <c r="F40" s="473">
        <f>'IND (BUS PLUS)'!G99</f>
        <v>0</v>
      </c>
      <c r="G40" s="473">
        <f t="shared" si="18"/>
        <v>0</v>
      </c>
      <c r="H40" s="375">
        <f t="shared" si="8"/>
        <v>0</v>
      </c>
      <c r="I40" s="375">
        <f t="shared" si="9"/>
        <v>0</v>
      </c>
      <c r="K40" s="375">
        <f t="shared" si="4"/>
        <v>0</v>
      </c>
      <c r="M40" s="477">
        <f t="shared" si="5"/>
        <v>0</v>
      </c>
      <c r="N40" s="479"/>
    </row>
    <row r="41" spans="1:14" ht="15" customHeight="1" x14ac:dyDescent="0.3">
      <c r="A41" s="478" t="s">
        <v>435</v>
      </c>
      <c r="B41" s="481">
        <f t="shared" si="17"/>
        <v>0</v>
      </c>
      <c r="C41" s="482">
        <f t="shared" si="6"/>
        <v>0</v>
      </c>
      <c r="D41" s="377">
        <f>IF(E41&gt;0,'Work Sheet'!$D$2,0)</f>
        <v>0</v>
      </c>
      <c r="E41" s="473">
        <f>'IND (BUS PLUS)'!F100</f>
        <v>0</v>
      </c>
      <c r="F41" s="473">
        <f>'IND (BUS PLUS)'!G100</f>
        <v>0</v>
      </c>
      <c r="G41" s="473">
        <f t="shared" si="18"/>
        <v>0</v>
      </c>
      <c r="H41" s="375">
        <f t="shared" si="8"/>
        <v>0</v>
      </c>
      <c r="I41" s="375">
        <f t="shared" si="9"/>
        <v>0</v>
      </c>
      <c r="K41" s="375">
        <f t="shared" si="4"/>
        <v>0</v>
      </c>
      <c r="M41" s="477">
        <f t="shared" si="5"/>
        <v>0</v>
      </c>
      <c r="N41" s="479"/>
    </row>
    <row r="42" spans="1:14" ht="15" customHeight="1" x14ac:dyDescent="0.3">
      <c r="A42" s="478" t="s">
        <v>436</v>
      </c>
      <c r="B42" s="481">
        <f t="shared" si="17"/>
        <v>0</v>
      </c>
      <c r="C42" s="482">
        <f t="shared" si="6"/>
        <v>0</v>
      </c>
      <c r="D42" s="377">
        <f>IF(E42&gt;0,'Work Sheet'!$D$2,0)</f>
        <v>0</v>
      </c>
      <c r="E42" s="473">
        <f>'IND (BUS PLUS)'!F101</f>
        <v>0</v>
      </c>
      <c r="F42" s="473">
        <f>'IND (BUS PLUS)'!G101</f>
        <v>0</v>
      </c>
      <c r="G42" s="473">
        <f t="shared" si="18"/>
        <v>0</v>
      </c>
      <c r="H42" s="375">
        <f t="shared" si="8"/>
        <v>0</v>
      </c>
      <c r="I42" s="375">
        <f t="shared" si="9"/>
        <v>0</v>
      </c>
      <c r="K42" s="375">
        <f t="shared" si="4"/>
        <v>0</v>
      </c>
      <c r="M42" s="477">
        <f t="shared" si="5"/>
        <v>0</v>
      </c>
      <c r="N42" s="479"/>
    </row>
    <row r="43" spans="1:14" ht="15" customHeight="1" x14ac:dyDescent="0.3">
      <c r="A43" s="475" t="s">
        <v>89</v>
      </c>
      <c r="B43" s="481">
        <f t="shared" si="17"/>
        <v>0</v>
      </c>
      <c r="C43" s="482">
        <f t="shared" si="6"/>
        <v>0</v>
      </c>
      <c r="D43" s="377">
        <f>IF(E43&gt;0,'Work Sheet'!$D$2,0)</f>
        <v>0</v>
      </c>
      <c r="E43" s="473">
        <f>'IND (BUS PLUS)'!F110</f>
        <v>0</v>
      </c>
      <c r="F43" s="473">
        <f>'IND (BUS PLUS)'!G110</f>
        <v>0</v>
      </c>
      <c r="G43" s="473">
        <f t="shared" si="18"/>
        <v>0</v>
      </c>
      <c r="H43" s="375">
        <f t="shared" si="8"/>
        <v>0</v>
      </c>
      <c r="I43" s="375">
        <f t="shared" si="9"/>
        <v>0</v>
      </c>
      <c r="K43" s="375">
        <f t="shared" si="4"/>
        <v>0</v>
      </c>
      <c r="M43" s="477">
        <f t="shared" si="5"/>
        <v>0</v>
      </c>
      <c r="N43" s="479">
        <v>0.01</v>
      </c>
    </row>
    <row r="44" spans="1:14" ht="15" customHeight="1" x14ac:dyDescent="0.3">
      <c r="A44" s="475" t="s">
        <v>90</v>
      </c>
      <c r="B44" s="481">
        <f t="shared" si="17"/>
        <v>0</v>
      </c>
      <c r="C44" s="482">
        <f t="shared" si="6"/>
        <v>0</v>
      </c>
      <c r="D44" s="377">
        <f>IF(E44&gt;0,'Work Sheet'!$D$2,0)</f>
        <v>0</v>
      </c>
      <c r="E44" s="473">
        <f>'IND (BUS PLUS)'!F111</f>
        <v>0</v>
      </c>
      <c r="F44" s="473">
        <f>'IND (BUS PLUS)'!G111</f>
        <v>0</v>
      </c>
      <c r="G44" s="473">
        <f t="shared" si="18"/>
        <v>0</v>
      </c>
      <c r="H44" s="375">
        <f t="shared" si="8"/>
        <v>0</v>
      </c>
      <c r="I44" s="375">
        <f t="shared" si="9"/>
        <v>0</v>
      </c>
      <c r="K44" s="375">
        <f t="shared" si="4"/>
        <v>0</v>
      </c>
      <c r="M44" s="477">
        <f t="shared" si="5"/>
        <v>0</v>
      </c>
      <c r="N44" s="479">
        <v>1.4999999999999999E-2</v>
      </c>
    </row>
    <row r="45" spans="1:14" ht="15" customHeight="1" x14ac:dyDescent="0.3">
      <c r="A45" s="475" t="s">
        <v>584</v>
      </c>
      <c r="B45" s="481">
        <f t="shared" si="17"/>
        <v>0</v>
      </c>
      <c r="C45" s="482">
        <f t="shared" si="6"/>
        <v>0</v>
      </c>
      <c r="D45" s="377">
        <f>IF(E45&gt;0,'Work Sheet'!$D$2,0)</f>
        <v>0</v>
      </c>
      <c r="E45" s="473">
        <f>'IND (BUS PLUS)'!F112</f>
        <v>0</v>
      </c>
      <c r="F45" s="473">
        <f>'IND (BUS PLUS)'!G112</f>
        <v>0</v>
      </c>
      <c r="G45" s="473">
        <f t="shared" si="18"/>
        <v>0</v>
      </c>
      <c r="H45" s="375">
        <f t="shared" si="8"/>
        <v>0</v>
      </c>
      <c r="I45" s="375">
        <f t="shared" si="9"/>
        <v>0</v>
      </c>
      <c r="K45" s="375">
        <f t="shared" si="4"/>
        <v>0</v>
      </c>
      <c r="M45" s="477">
        <f t="shared" si="5"/>
        <v>0</v>
      </c>
      <c r="N45" s="479">
        <v>2.5000000000000001E-2</v>
      </c>
    </row>
    <row r="46" spans="1:14" ht="15" customHeight="1" x14ac:dyDescent="0.3">
      <c r="A46" s="737" t="s">
        <v>741</v>
      </c>
      <c r="B46" s="481">
        <f t="shared" si="17"/>
        <v>0</v>
      </c>
      <c r="C46" s="482">
        <f t="shared" si="6"/>
        <v>0</v>
      </c>
      <c r="D46" s="377">
        <f>IF(E46&gt;0,'Work Sheet'!$D$2,0)</f>
        <v>0</v>
      </c>
      <c r="E46" s="473">
        <f>'IND (BUS PLUS)'!F113</f>
        <v>0</v>
      </c>
      <c r="F46" s="473">
        <f>'IND (BUS PLUS)'!G113</f>
        <v>0</v>
      </c>
      <c r="G46" s="473">
        <f t="shared" si="18"/>
        <v>0</v>
      </c>
      <c r="H46" s="375">
        <f t="shared" si="8"/>
        <v>0</v>
      </c>
      <c r="I46" s="375">
        <f>IF(H46&gt;=F46,"0",(F46-H46))+K46</f>
        <v>0</v>
      </c>
      <c r="K46" s="375">
        <f>M46-F46</f>
        <v>0</v>
      </c>
      <c r="M46" s="477">
        <f>E46*N46</f>
        <v>0</v>
      </c>
      <c r="N46" s="479">
        <v>5.5E-2</v>
      </c>
    </row>
    <row r="47" spans="1:14" ht="15" customHeight="1" x14ac:dyDescent="0.3">
      <c r="A47" s="475" t="s">
        <v>368</v>
      </c>
      <c r="B47" s="481">
        <f t="shared" si="17"/>
        <v>0</v>
      </c>
      <c r="C47" s="482">
        <f t="shared" si="6"/>
        <v>0</v>
      </c>
      <c r="D47" s="377">
        <f>IF(E47&gt;0,'Work Sheet'!$D$2,0)</f>
        <v>0</v>
      </c>
      <c r="E47" s="473">
        <f>'IND (BUS PLUS)'!F114</f>
        <v>0</v>
      </c>
      <c r="F47" s="473">
        <f>'IND (BUS PLUS)'!G114</f>
        <v>0</v>
      </c>
      <c r="G47" s="473">
        <f t="shared" si="18"/>
        <v>0</v>
      </c>
      <c r="H47" s="375">
        <f t="shared" si="8"/>
        <v>0</v>
      </c>
      <c r="I47" s="375">
        <f t="shared" ref="I47:I60" si="19">IF(H47&gt;=F47,"0",(F47-H47))+K47</f>
        <v>0</v>
      </c>
      <c r="K47" s="375">
        <f t="shared" ref="K47:K60" si="20">M47-F47</f>
        <v>0</v>
      </c>
      <c r="M47" s="477">
        <f t="shared" ref="M47:M60" si="21">E47*N47</f>
        <v>0</v>
      </c>
      <c r="N47" s="479">
        <v>0.01</v>
      </c>
    </row>
    <row r="48" spans="1:14" ht="15" customHeight="1" x14ac:dyDescent="0.3">
      <c r="A48" s="475" t="s">
        <v>532</v>
      </c>
      <c r="B48" s="481">
        <f t="shared" si="17"/>
        <v>0</v>
      </c>
      <c r="C48" s="482">
        <f t="shared" si="6"/>
        <v>0</v>
      </c>
      <c r="D48" s="377">
        <f>IF(E48&gt;0,'Work Sheet'!$D$2,0)</f>
        <v>0</v>
      </c>
      <c r="E48" s="473">
        <f>'IND (BUS PLUS)'!F115</f>
        <v>0</v>
      </c>
      <c r="F48" s="473">
        <f>'IND (BUS PLUS)'!G115</f>
        <v>0</v>
      </c>
      <c r="G48" s="473">
        <f t="shared" si="18"/>
        <v>0</v>
      </c>
      <c r="H48" s="375">
        <f t="shared" si="8"/>
        <v>0</v>
      </c>
      <c r="I48" s="375">
        <f t="shared" si="19"/>
        <v>0</v>
      </c>
      <c r="K48" s="375">
        <f t="shared" si="20"/>
        <v>0</v>
      </c>
      <c r="M48" s="477">
        <f t="shared" si="21"/>
        <v>0</v>
      </c>
      <c r="N48" s="479">
        <v>1.4999999999999999E-2</v>
      </c>
    </row>
    <row r="49" spans="1:14" ht="15" customHeight="1" x14ac:dyDescent="0.3">
      <c r="A49" s="475" t="s">
        <v>369</v>
      </c>
      <c r="B49" s="481">
        <f t="shared" si="17"/>
        <v>0</v>
      </c>
      <c r="C49" s="482">
        <f t="shared" si="6"/>
        <v>0</v>
      </c>
      <c r="D49" s="377">
        <f>IF(E49&gt;0,'Work Sheet'!$D$2,0)</f>
        <v>0</v>
      </c>
      <c r="E49" s="473">
        <f>'IND (BUS PLUS)'!F116</f>
        <v>0</v>
      </c>
      <c r="F49" s="473">
        <f>'IND (BUS PLUS)'!G116</f>
        <v>0</v>
      </c>
      <c r="G49" s="473">
        <f t="shared" si="18"/>
        <v>0</v>
      </c>
      <c r="H49" s="375">
        <f t="shared" si="8"/>
        <v>0</v>
      </c>
      <c r="I49" s="375">
        <f t="shared" si="19"/>
        <v>0</v>
      </c>
      <c r="K49" s="375">
        <f t="shared" si="20"/>
        <v>0</v>
      </c>
      <c r="M49" s="477">
        <f t="shared" si="21"/>
        <v>0</v>
      </c>
      <c r="N49" s="479">
        <v>0.02</v>
      </c>
    </row>
    <row r="50" spans="1:14" ht="14.4" x14ac:dyDescent="0.3">
      <c r="A50" s="475" t="s">
        <v>370</v>
      </c>
      <c r="B50" s="481">
        <f t="shared" si="17"/>
        <v>0</v>
      </c>
      <c r="C50" s="482">
        <f t="shared" si="6"/>
        <v>0</v>
      </c>
      <c r="D50" s="377">
        <f>IF(E50&gt;0,'Work Sheet'!$D$2,0)</f>
        <v>0</v>
      </c>
      <c r="E50" s="473">
        <f>'IND (BUS PLUS)'!F117</f>
        <v>0</v>
      </c>
      <c r="F50" s="473">
        <f>'IND (BUS PLUS)'!G117</f>
        <v>0</v>
      </c>
      <c r="G50" s="473">
        <f t="shared" si="18"/>
        <v>0</v>
      </c>
      <c r="H50" s="375">
        <f t="shared" si="8"/>
        <v>0</v>
      </c>
      <c r="I50" s="375">
        <f t="shared" si="19"/>
        <v>0</v>
      </c>
      <c r="K50" s="375">
        <f t="shared" si="20"/>
        <v>0</v>
      </c>
      <c r="M50" s="477">
        <f t="shared" si="21"/>
        <v>0</v>
      </c>
      <c r="N50" s="479">
        <v>0.1</v>
      </c>
    </row>
    <row r="51" spans="1:14" ht="14.4" x14ac:dyDescent="0.3">
      <c r="A51" s="737" t="s">
        <v>742</v>
      </c>
      <c r="B51" s="481">
        <f t="shared" si="17"/>
        <v>0</v>
      </c>
      <c r="C51" s="482">
        <f t="shared" si="6"/>
        <v>0</v>
      </c>
      <c r="D51" s="377">
        <f>IF(E51&gt;0,'Work Sheet'!$D$2,0)</f>
        <v>0</v>
      </c>
      <c r="E51" s="473">
        <f>'IND (BUS PLUS)'!F118</f>
        <v>0</v>
      </c>
      <c r="F51" s="473">
        <f>'IND (BUS PLUS)'!G118</f>
        <v>0</v>
      </c>
      <c r="G51" s="473">
        <f t="shared" si="18"/>
        <v>0</v>
      </c>
      <c r="H51" s="375">
        <f t="shared" si="8"/>
        <v>0</v>
      </c>
      <c r="I51" s="375">
        <f t="shared" si="19"/>
        <v>0</v>
      </c>
      <c r="K51" s="375">
        <f t="shared" si="20"/>
        <v>0</v>
      </c>
      <c r="M51" s="477">
        <f t="shared" si="21"/>
        <v>0</v>
      </c>
      <c r="N51" s="479">
        <v>0.08</v>
      </c>
    </row>
    <row r="52" spans="1:14" ht="14.4" x14ac:dyDescent="0.3">
      <c r="A52" s="475" t="s">
        <v>533</v>
      </c>
      <c r="B52" s="481">
        <f t="shared" si="17"/>
        <v>0</v>
      </c>
      <c r="C52" s="482">
        <f t="shared" si="6"/>
        <v>0</v>
      </c>
      <c r="D52" s="377">
        <f>IF(E52&gt;0,'Work Sheet'!$D$2,0)</f>
        <v>0</v>
      </c>
      <c r="E52" s="473">
        <f>'IND (BUS PLUS)'!F119</f>
        <v>0</v>
      </c>
      <c r="F52" s="473">
        <f>'IND (BUS PLUS)'!G119</f>
        <v>0</v>
      </c>
      <c r="G52" s="473">
        <f t="shared" si="18"/>
        <v>0</v>
      </c>
      <c r="H52" s="375">
        <f t="shared" si="8"/>
        <v>0</v>
      </c>
      <c r="I52" s="375">
        <f t="shared" si="19"/>
        <v>0</v>
      </c>
      <c r="K52" s="375">
        <f t="shared" si="20"/>
        <v>0</v>
      </c>
      <c r="M52" s="477">
        <f t="shared" si="21"/>
        <v>0</v>
      </c>
      <c r="N52" s="479">
        <v>0.1</v>
      </c>
    </row>
    <row r="53" spans="1:14" ht="14.4" x14ac:dyDescent="0.3">
      <c r="A53" s="475" t="s">
        <v>92</v>
      </c>
      <c r="B53" s="481">
        <f t="shared" si="17"/>
        <v>0</v>
      </c>
      <c r="C53" s="482">
        <f t="shared" si="6"/>
        <v>0</v>
      </c>
      <c r="D53" s="377">
        <f>IF(E53&gt;0,'Work Sheet'!$D$2,0)</f>
        <v>0</v>
      </c>
      <c r="E53" s="473">
        <f>'IND (BUS PLUS)'!F120</f>
        <v>0</v>
      </c>
      <c r="F53" s="473">
        <f>'IND (BUS PLUS)'!G120</f>
        <v>0</v>
      </c>
      <c r="G53" s="473">
        <f t="shared" si="18"/>
        <v>0</v>
      </c>
      <c r="H53" s="375">
        <f t="shared" si="8"/>
        <v>0</v>
      </c>
      <c r="I53" s="375">
        <f t="shared" si="19"/>
        <v>0</v>
      </c>
      <c r="K53" s="375">
        <f t="shared" si="20"/>
        <v>0</v>
      </c>
      <c r="M53" s="477">
        <f t="shared" si="21"/>
        <v>0</v>
      </c>
      <c r="N53" s="479">
        <v>0.01</v>
      </c>
    </row>
    <row r="54" spans="1:14" ht="14.4" x14ac:dyDescent="0.3">
      <c r="A54" s="475" t="s">
        <v>617</v>
      </c>
      <c r="B54" s="481">
        <f t="shared" si="17"/>
        <v>0</v>
      </c>
      <c r="C54" s="482">
        <f t="shared" si="6"/>
        <v>0</v>
      </c>
      <c r="D54" s="377">
        <f>IF(E54&gt;0,'Work Sheet'!$D$2,0)</f>
        <v>0</v>
      </c>
      <c r="E54" s="473">
        <f>'IND (BUS PLUS)'!F121</f>
        <v>0</v>
      </c>
      <c r="F54" s="473">
        <f>'IND (BUS PLUS)'!G121</f>
        <v>0</v>
      </c>
      <c r="G54" s="473">
        <f t="shared" si="18"/>
        <v>0</v>
      </c>
      <c r="H54" s="375">
        <f t="shared" si="8"/>
        <v>0</v>
      </c>
      <c r="I54" s="375">
        <f t="shared" si="19"/>
        <v>0</v>
      </c>
      <c r="K54" s="375">
        <f t="shared" si="20"/>
        <v>0</v>
      </c>
      <c r="M54" s="477">
        <f t="shared" si="21"/>
        <v>0</v>
      </c>
      <c r="N54" s="479"/>
    </row>
    <row r="55" spans="1:14" ht="14.4" x14ac:dyDescent="0.3">
      <c r="A55" s="475" t="s">
        <v>618</v>
      </c>
      <c r="B55" s="481">
        <f t="shared" si="17"/>
        <v>0</v>
      </c>
      <c r="C55" s="482">
        <f t="shared" si="6"/>
        <v>0</v>
      </c>
      <c r="D55" s="377">
        <f>IF(E55&gt;0,'Work Sheet'!$D$2,0)</f>
        <v>0</v>
      </c>
      <c r="E55" s="473">
        <f>'IND (BUS PLUS)'!F122</f>
        <v>0</v>
      </c>
      <c r="F55" s="473">
        <f>'IND (BUS PLUS)'!G122</f>
        <v>0</v>
      </c>
      <c r="G55" s="473">
        <f t="shared" si="18"/>
        <v>0</v>
      </c>
      <c r="H55" s="375">
        <f t="shared" si="8"/>
        <v>0</v>
      </c>
      <c r="I55" s="375">
        <f t="shared" si="19"/>
        <v>0</v>
      </c>
      <c r="K55" s="375">
        <f t="shared" si="20"/>
        <v>0</v>
      </c>
      <c r="M55" s="477">
        <f t="shared" si="21"/>
        <v>0</v>
      </c>
      <c r="N55" s="479"/>
    </row>
    <row r="56" spans="1:14" ht="14.4" x14ac:dyDescent="0.3">
      <c r="A56" s="475" t="s">
        <v>620</v>
      </c>
      <c r="B56" s="481">
        <f t="shared" si="17"/>
        <v>0</v>
      </c>
      <c r="C56" s="482">
        <f t="shared" si="6"/>
        <v>0</v>
      </c>
      <c r="D56" s="377">
        <f>IF(E56&gt;0,'Work Sheet'!$D$2,0)</f>
        <v>0</v>
      </c>
      <c r="E56" s="473">
        <f>'IND (BUS PLUS)'!F138</f>
        <v>0</v>
      </c>
      <c r="F56" s="473">
        <f>'IND (BUS PLUS)'!G138</f>
        <v>0</v>
      </c>
      <c r="G56" s="473">
        <f t="shared" si="18"/>
        <v>0</v>
      </c>
      <c r="H56" s="375">
        <f t="shared" si="8"/>
        <v>0</v>
      </c>
      <c r="I56" s="375">
        <f t="shared" si="19"/>
        <v>0</v>
      </c>
      <c r="K56" s="375">
        <f t="shared" si="20"/>
        <v>0</v>
      </c>
      <c r="M56" s="477">
        <f t="shared" si="21"/>
        <v>0</v>
      </c>
      <c r="N56" s="479">
        <v>0.05</v>
      </c>
    </row>
    <row r="57" spans="1:14" ht="14.4" x14ac:dyDescent="0.3">
      <c r="A57" s="475" t="s">
        <v>537</v>
      </c>
      <c r="B57" s="481">
        <f t="shared" si="17"/>
        <v>0</v>
      </c>
      <c r="C57" s="482">
        <f t="shared" si="6"/>
        <v>0</v>
      </c>
      <c r="D57" s="377">
        <f>IF(E57&gt;0,'Work Sheet'!$D$2,0)</f>
        <v>0</v>
      </c>
      <c r="E57" s="473">
        <f>'IND (BUS PLUS)'!F139</f>
        <v>0</v>
      </c>
      <c r="F57" s="473">
        <f>'IND (BUS PLUS)'!G139</f>
        <v>0</v>
      </c>
      <c r="G57" s="473">
        <f t="shared" si="18"/>
        <v>0</v>
      </c>
      <c r="H57" s="375">
        <f t="shared" si="8"/>
        <v>0</v>
      </c>
      <c r="I57" s="375">
        <f t="shared" si="19"/>
        <v>0</v>
      </c>
      <c r="K57" s="375">
        <f t="shared" si="20"/>
        <v>0</v>
      </c>
      <c r="M57" s="477">
        <f t="shared" si="21"/>
        <v>0</v>
      </c>
      <c r="N57" s="479">
        <v>0.08</v>
      </c>
    </row>
    <row r="58" spans="1:14" ht="14.4" x14ac:dyDescent="0.3">
      <c r="A58" s="475" t="s">
        <v>514</v>
      </c>
      <c r="B58" s="481">
        <f t="shared" si="17"/>
        <v>0</v>
      </c>
      <c r="C58" s="482">
        <f t="shared" si="6"/>
        <v>0</v>
      </c>
      <c r="D58" s="377">
        <f>IF(E58&gt;0,'Work Sheet'!$D$2,0)</f>
        <v>0</v>
      </c>
      <c r="E58" s="473">
        <f>'IND (BUS PLUS)'!F140</f>
        <v>0</v>
      </c>
      <c r="F58" s="473">
        <f>'IND (BUS PLUS)'!G140</f>
        <v>0</v>
      </c>
      <c r="G58" s="473">
        <f t="shared" si="18"/>
        <v>0</v>
      </c>
      <c r="H58" s="375">
        <f t="shared" si="8"/>
        <v>0</v>
      </c>
      <c r="I58" s="375">
        <f t="shared" si="19"/>
        <v>0</v>
      </c>
      <c r="K58" s="375">
        <f t="shared" si="20"/>
        <v>0</v>
      </c>
      <c r="M58" s="477">
        <f t="shared" si="21"/>
        <v>0</v>
      </c>
      <c r="N58" s="479">
        <v>0.1</v>
      </c>
    </row>
    <row r="59" spans="1:14" ht="14.4" x14ac:dyDescent="0.3">
      <c r="A59" s="475" t="s">
        <v>446</v>
      </c>
      <c r="B59" s="481">
        <f t="shared" si="17"/>
        <v>0</v>
      </c>
      <c r="C59" s="482">
        <f t="shared" si="6"/>
        <v>0</v>
      </c>
      <c r="D59" s="377">
        <f>IF(E59&gt;0,'Work Sheet'!$D$2,0)</f>
        <v>0</v>
      </c>
      <c r="E59" s="473">
        <f>'IND (BUS PLUS)'!F141</f>
        <v>0</v>
      </c>
      <c r="F59" s="473">
        <f>'IND (BUS PLUS)'!G141</f>
        <v>0</v>
      </c>
      <c r="G59" s="473">
        <f t="shared" si="18"/>
        <v>0</v>
      </c>
      <c r="H59" s="375">
        <f t="shared" si="8"/>
        <v>0</v>
      </c>
      <c r="I59" s="375">
        <f t="shared" si="19"/>
        <v>0</v>
      </c>
      <c r="K59" s="375">
        <f t="shared" si="20"/>
        <v>0</v>
      </c>
      <c r="M59" s="477">
        <f t="shared" si="21"/>
        <v>0</v>
      </c>
      <c r="N59" s="479">
        <v>0.12</v>
      </c>
    </row>
    <row r="60" spans="1:14" ht="14.4" x14ac:dyDescent="0.3">
      <c r="A60" s="475" t="s">
        <v>449</v>
      </c>
      <c r="B60" s="481">
        <f t="shared" si="17"/>
        <v>0</v>
      </c>
      <c r="C60" s="482">
        <f t="shared" si="6"/>
        <v>0</v>
      </c>
      <c r="D60" s="377">
        <f>IF(E60&gt;0,'Work Sheet'!$D$2,0)</f>
        <v>0</v>
      </c>
      <c r="E60" s="473">
        <f>'IND (BUS PLUS)'!F142</f>
        <v>0</v>
      </c>
      <c r="F60" s="473">
        <f>'IND (BUS PLUS)'!G142</f>
        <v>0</v>
      </c>
      <c r="G60" s="473">
        <f t="shared" si="18"/>
        <v>0</v>
      </c>
      <c r="H60" s="375">
        <f t="shared" si="8"/>
        <v>0</v>
      </c>
      <c r="I60" s="375">
        <f t="shared" si="19"/>
        <v>0</v>
      </c>
      <c r="K60" s="375">
        <f t="shared" si="20"/>
        <v>0</v>
      </c>
      <c r="M60" s="477">
        <f t="shared" si="21"/>
        <v>0</v>
      </c>
      <c r="N60" s="479">
        <v>0</v>
      </c>
    </row>
    <row r="61" spans="1:14" ht="13.8" thickBot="1" x14ac:dyDescent="0.3"/>
    <row r="62" spans="1:14" ht="15" thickBot="1" x14ac:dyDescent="0.35">
      <c r="I62" s="480">
        <f>SUM(I28:I61)</f>
        <v>0</v>
      </c>
    </row>
  </sheetData>
  <mergeCells count="4">
    <mergeCell ref="A23:H23"/>
    <mergeCell ref="S5:T5"/>
    <mergeCell ref="R6:T6"/>
    <mergeCell ref="A2:H22"/>
  </mergeCells>
  <pageMargins left="0.7" right="0.7" top="0.75" bottom="0.75" header="0.3" footer="0.3"/>
  <pageSetup orientation="landscape" r:id="rId1"/>
  <tableParts count="1">
    <tablePart r:id="rId2"/>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2:AS50"/>
  <sheetViews>
    <sheetView workbookViewId="0">
      <selection activeCell="A14" sqref="A14"/>
    </sheetView>
  </sheetViews>
  <sheetFormatPr defaultColWidth="2.33203125" defaultRowHeight="13.2" x14ac:dyDescent="0.25"/>
  <cols>
    <col min="1" max="1" width="7.44140625" style="614" bestFit="1" customWidth="1"/>
    <col min="2" max="5" width="2.33203125" style="614"/>
    <col min="6" max="6" width="4.109375" style="614" customWidth="1"/>
    <col min="7" max="8" width="2.33203125" style="614"/>
    <col min="9" max="9" width="2.6640625" style="614" customWidth="1"/>
    <col min="10" max="10" width="5.109375" style="614" customWidth="1"/>
    <col min="11" max="16" width="2.33203125" style="614"/>
    <col min="17" max="17" width="7.44140625" style="614" bestFit="1" customWidth="1"/>
    <col min="18" max="21" width="2.33203125" style="614"/>
    <col min="22" max="22" width="5" style="614" customWidth="1"/>
    <col min="23" max="24" width="2.33203125" style="614"/>
    <col min="25" max="25" width="3.109375" style="614" customWidth="1"/>
    <col min="26" max="26" width="5.44140625" style="614" customWidth="1"/>
    <col min="27" max="30" width="2.33203125" style="614"/>
    <col min="31" max="31" width="5.33203125" style="614" customWidth="1"/>
    <col min="32" max="41" width="2.33203125" style="614"/>
    <col min="42" max="43" width="8.6640625" style="614" bestFit="1" customWidth="1"/>
    <col min="44" max="16384" width="2.33203125" style="614"/>
  </cols>
  <sheetData>
    <row r="2" spans="1:45" x14ac:dyDescent="0.25">
      <c r="A2" s="1067" t="s">
        <v>707</v>
      </c>
      <c r="B2" s="1067"/>
      <c r="C2" s="1067"/>
      <c r="D2" s="1067"/>
      <c r="E2" s="1067"/>
      <c r="F2" s="1067"/>
      <c r="G2" s="1067"/>
      <c r="H2" s="1067"/>
      <c r="I2" s="1067"/>
      <c r="J2" s="1067"/>
      <c r="K2" s="1067"/>
      <c r="L2" s="1067"/>
      <c r="M2" s="1067"/>
      <c r="N2" s="1067"/>
      <c r="O2" s="1067"/>
      <c r="P2" s="1067"/>
      <c r="Q2" s="1067"/>
      <c r="R2" s="1067"/>
      <c r="S2" s="1067"/>
      <c r="T2" s="1067"/>
      <c r="U2" s="1067"/>
      <c r="V2" s="1067"/>
      <c r="W2" s="1067"/>
      <c r="X2" s="1067"/>
      <c r="Y2" s="1067"/>
      <c r="Z2" s="1067"/>
      <c r="AA2" s="1067"/>
      <c r="AB2" s="1067"/>
      <c r="AC2" s="1067"/>
      <c r="AD2" s="1067"/>
      <c r="AE2" s="1067"/>
    </row>
    <row r="3" spans="1:45" ht="13.8" thickBot="1" x14ac:dyDescent="0.3">
      <c r="A3" s="1068"/>
      <c r="B3" s="1068"/>
      <c r="C3" s="1068"/>
      <c r="D3" s="1068"/>
      <c r="E3" s="1068"/>
      <c r="F3" s="1068"/>
      <c r="G3" s="1068"/>
      <c r="H3" s="1068"/>
      <c r="I3" s="1068"/>
      <c r="J3" s="1068"/>
      <c r="K3" s="1068"/>
      <c r="L3" s="1068"/>
      <c r="M3" s="1068"/>
      <c r="N3" s="1068"/>
      <c r="O3" s="1068"/>
      <c r="P3" s="1068"/>
      <c r="Q3" s="1068"/>
      <c r="R3" s="1068"/>
      <c r="S3" s="1068"/>
      <c r="T3" s="1068"/>
      <c r="U3" s="1068"/>
      <c r="V3" s="1068"/>
      <c r="W3" s="1068"/>
      <c r="X3" s="1068"/>
      <c r="Y3" s="1068"/>
      <c r="Z3" s="1068"/>
      <c r="AA3" s="1068"/>
      <c r="AB3" s="1068"/>
      <c r="AC3" s="1068"/>
      <c r="AD3" s="1068"/>
      <c r="AE3" s="1068"/>
    </row>
    <row r="4" spans="1:45" ht="13.8" thickBot="1" x14ac:dyDescent="0.3">
      <c r="A4" s="1069" t="s">
        <v>708</v>
      </c>
      <c r="B4" s="1070"/>
      <c r="C4" s="1070"/>
      <c r="D4" s="1070"/>
      <c r="E4" s="1070"/>
      <c r="F4" s="1070"/>
      <c r="G4" s="1070"/>
      <c r="H4" s="1070"/>
      <c r="I4" s="1070"/>
      <c r="J4" s="1070"/>
      <c r="K4" s="1070"/>
      <c r="L4" s="1070"/>
      <c r="M4" s="1070"/>
      <c r="N4" s="1070"/>
      <c r="O4" s="1070"/>
      <c r="P4" s="1070"/>
      <c r="Q4" s="1070"/>
      <c r="R4" s="1070"/>
      <c r="S4" s="1070"/>
      <c r="T4" s="1070"/>
      <c r="U4" s="1070"/>
      <c r="V4" s="1070"/>
      <c r="W4" s="1070"/>
      <c r="X4" s="1070"/>
      <c r="Y4" s="1070"/>
      <c r="Z4" s="1070"/>
      <c r="AA4" s="1070"/>
      <c r="AB4" s="1070"/>
      <c r="AC4" s="1070"/>
      <c r="AD4" s="1070"/>
      <c r="AE4" s="1071"/>
    </row>
    <row r="5" spans="1:45" ht="16.2" thickBot="1" x14ac:dyDescent="0.35">
      <c r="A5" s="1068"/>
      <c r="B5" s="1068"/>
      <c r="C5" s="1068"/>
      <c r="D5" s="1068"/>
      <c r="E5" s="1068"/>
      <c r="F5" s="1068"/>
      <c r="G5" s="1068"/>
      <c r="H5" s="1068"/>
      <c r="I5" s="1068"/>
      <c r="J5" s="1068"/>
      <c r="K5" s="1068"/>
      <c r="L5" s="1068"/>
      <c r="M5" s="1068"/>
      <c r="N5" s="1068"/>
      <c r="O5" s="1068"/>
      <c r="P5" s="1068"/>
      <c r="Q5" s="1068"/>
      <c r="R5" s="1068"/>
      <c r="S5" s="1068"/>
      <c r="T5" s="1068"/>
      <c r="U5" s="1068"/>
      <c r="V5" s="1068"/>
      <c r="W5" s="1068"/>
      <c r="X5" s="1068"/>
      <c r="Y5" s="1068"/>
      <c r="Z5" s="1068"/>
      <c r="AA5" s="1068"/>
      <c r="AB5" s="1068"/>
      <c r="AC5" s="1068"/>
      <c r="AD5" s="1068"/>
      <c r="AE5" s="1068"/>
      <c r="AI5" s="620"/>
      <c r="AJ5" s="1072" t="s">
        <v>709</v>
      </c>
      <c r="AK5" s="1073"/>
      <c r="AL5" s="1073"/>
      <c r="AM5" s="1073"/>
      <c r="AN5" s="1074"/>
      <c r="AO5" s="621"/>
      <c r="AP5" s="634">
        <v>60</v>
      </c>
    </row>
    <row r="7" spans="1:45" x14ac:dyDescent="0.25">
      <c r="A7" s="619"/>
    </row>
    <row r="8" spans="1:45" x14ac:dyDescent="0.25">
      <c r="A8" s="1060" t="s">
        <v>657</v>
      </c>
      <c r="B8" s="1060"/>
      <c r="C8" s="1060"/>
      <c r="D8" s="1060"/>
      <c r="E8" s="1061"/>
      <c r="F8" s="1061"/>
      <c r="G8" s="1061"/>
      <c r="H8" s="1061"/>
      <c r="I8" s="1061"/>
      <c r="J8" s="1061"/>
      <c r="K8" s="1061"/>
      <c r="L8" s="1061"/>
      <c r="M8" s="1061"/>
      <c r="N8" s="1061"/>
      <c r="O8" s="1061"/>
      <c r="P8" s="615"/>
      <c r="Q8" s="1060" t="s">
        <v>657</v>
      </c>
      <c r="R8" s="1060"/>
      <c r="S8" s="1060"/>
      <c r="T8" s="1060"/>
      <c r="U8" s="1061"/>
      <c r="V8" s="1061"/>
      <c r="W8" s="1061"/>
      <c r="X8" s="1061"/>
      <c r="Y8" s="1061"/>
      <c r="Z8" s="1061"/>
      <c r="AA8" s="1061"/>
      <c r="AB8" s="1061"/>
      <c r="AC8" s="1061"/>
      <c r="AD8" s="1061"/>
      <c r="AE8" s="615"/>
      <c r="AF8" s="613"/>
      <c r="AG8" s="613"/>
      <c r="AH8" s="613"/>
      <c r="AI8" s="613"/>
      <c r="AJ8" s="613"/>
      <c r="AK8" s="613"/>
      <c r="AL8" s="613"/>
      <c r="AM8" s="613"/>
    </row>
    <row r="9" spans="1:45" ht="12" customHeight="1" x14ac:dyDescent="0.25">
      <c r="A9" s="615"/>
      <c r="B9" s="615"/>
      <c r="C9" s="616"/>
      <c r="D9" s="616"/>
      <c r="E9" s="616"/>
      <c r="F9" s="616"/>
      <c r="G9" s="616"/>
      <c r="H9" s="616"/>
      <c r="I9" s="616"/>
      <c r="J9" s="616"/>
      <c r="K9" s="616"/>
      <c r="L9" s="616"/>
      <c r="M9" s="616"/>
      <c r="N9" s="616"/>
      <c r="O9" s="616"/>
      <c r="P9" s="615"/>
      <c r="Q9" s="615"/>
      <c r="R9" s="615"/>
      <c r="S9" s="616"/>
      <c r="T9" s="616"/>
      <c r="U9" s="615"/>
      <c r="V9" s="616"/>
      <c r="W9" s="616"/>
      <c r="X9" s="616"/>
      <c r="Y9" s="616"/>
      <c r="Z9" s="616"/>
      <c r="AA9" s="616"/>
      <c r="AB9" s="616"/>
      <c r="AC9" s="616"/>
      <c r="AD9" s="616"/>
      <c r="AE9" s="615"/>
      <c r="AF9" s="613"/>
      <c r="AG9" s="613"/>
      <c r="AH9" s="613"/>
      <c r="AI9" s="613"/>
      <c r="AJ9" s="613"/>
      <c r="AK9" s="613"/>
      <c r="AL9" s="613"/>
      <c r="AM9" s="613"/>
    </row>
    <row r="10" spans="1:45" ht="18" customHeight="1" x14ac:dyDescent="0.25">
      <c r="A10" s="1060" t="s">
        <v>658</v>
      </c>
      <c r="B10" s="1060"/>
      <c r="C10" s="1060"/>
      <c r="D10" s="1060"/>
      <c r="E10" s="1066"/>
      <c r="F10" s="1061"/>
      <c r="G10" s="1061"/>
      <c r="H10" s="1061"/>
      <c r="I10" s="1061"/>
      <c r="J10" s="1061"/>
      <c r="K10" s="1061"/>
      <c r="L10" s="1061"/>
      <c r="M10" s="1061"/>
      <c r="N10" s="1061"/>
      <c r="O10" s="1061"/>
      <c r="P10" s="615"/>
      <c r="Q10" s="1060" t="s">
        <v>658</v>
      </c>
      <c r="R10" s="1060"/>
      <c r="S10" s="1060"/>
      <c r="T10" s="1060"/>
      <c r="U10" s="1062"/>
      <c r="V10" s="1062"/>
      <c r="W10" s="1062"/>
      <c r="X10" s="1062"/>
      <c r="Y10" s="1062"/>
      <c r="Z10" s="1062"/>
      <c r="AA10" s="1062"/>
      <c r="AB10" s="1062"/>
      <c r="AC10" s="1062"/>
      <c r="AD10" s="1062"/>
    </row>
    <row r="11" spans="1:45" ht="13.5" customHeight="1" x14ac:dyDescent="0.25">
      <c r="A11" s="617"/>
      <c r="B11" s="618"/>
      <c r="C11" s="617"/>
      <c r="D11" s="617"/>
      <c r="E11" s="617"/>
      <c r="F11" s="617"/>
      <c r="G11" s="618"/>
      <c r="H11" s="617"/>
      <c r="I11" s="617"/>
      <c r="J11" s="617"/>
      <c r="K11" s="618"/>
      <c r="L11" s="617"/>
      <c r="M11" s="617"/>
      <c r="N11" s="617"/>
      <c r="O11" s="617"/>
      <c r="P11" s="617"/>
      <c r="Q11" s="617"/>
      <c r="R11" s="617"/>
      <c r="S11" s="617"/>
      <c r="T11" s="617"/>
      <c r="U11" s="617"/>
      <c r="V11" s="618"/>
      <c r="W11" s="617"/>
      <c r="X11" s="617"/>
      <c r="Y11" s="617"/>
      <c r="Z11" s="618"/>
      <c r="AA11" s="617"/>
      <c r="AB11" s="617"/>
      <c r="AC11" s="617"/>
      <c r="AD11" s="617"/>
      <c r="AE11" s="618"/>
      <c r="AF11" s="613"/>
      <c r="AG11" s="613"/>
      <c r="AH11" s="613"/>
      <c r="AI11" s="613"/>
      <c r="AJ11" s="613"/>
      <c r="AK11" s="613"/>
      <c r="AL11" s="613"/>
      <c r="AM11" s="613"/>
    </row>
    <row r="12" spans="1:45" ht="26.25" customHeight="1" x14ac:dyDescent="0.25">
      <c r="A12" s="622" t="s">
        <v>659</v>
      </c>
      <c r="B12" s="623"/>
      <c r="C12" s="1059" t="s">
        <v>665</v>
      </c>
      <c r="D12" s="1059"/>
      <c r="E12" s="1059"/>
      <c r="F12" s="1059"/>
      <c r="G12" s="623"/>
      <c r="H12" s="1059" t="s">
        <v>574</v>
      </c>
      <c r="I12" s="1059"/>
      <c r="J12" s="1059"/>
      <c r="K12" s="623"/>
      <c r="L12" s="1059" t="s">
        <v>660</v>
      </c>
      <c r="M12" s="1059"/>
      <c r="N12" s="1059"/>
      <c r="O12" s="1059"/>
      <c r="P12" s="617"/>
      <c r="Q12" s="622" t="s">
        <v>659</v>
      </c>
      <c r="R12" s="623"/>
      <c r="S12" s="1059" t="s">
        <v>665</v>
      </c>
      <c r="T12" s="1059"/>
      <c r="U12" s="1059"/>
      <c r="V12" s="1059"/>
      <c r="W12" s="623"/>
      <c r="X12" s="1059" t="s">
        <v>574</v>
      </c>
      <c r="Y12" s="1059"/>
      <c r="Z12" s="1059"/>
      <c r="AA12" s="623"/>
      <c r="AB12" s="1059" t="s">
        <v>660</v>
      </c>
      <c r="AC12" s="1059"/>
      <c r="AD12" s="1059"/>
      <c r="AE12" s="1059"/>
      <c r="AF12" s="613"/>
      <c r="AG12" s="613"/>
      <c r="AH12" s="613"/>
      <c r="AI12" s="613"/>
      <c r="AJ12" s="613"/>
      <c r="AK12" s="613"/>
      <c r="AL12" s="613"/>
      <c r="AM12" s="613"/>
    </row>
    <row r="13" spans="1:45" x14ac:dyDescent="0.25">
      <c r="A13" s="624"/>
      <c r="B13" s="624"/>
      <c r="C13" s="624"/>
      <c r="D13" s="624"/>
      <c r="E13" s="624"/>
      <c r="F13" s="618"/>
      <c r="G13" s="624"/>
      <c r="H13" s="624"/>
      <c r="I13" s="624"/>
      <c r="J13" s="618"/>
      <c r="K13" s="624"/>
      <c r="L13" s="624"/>
      <c r="M13" s="624"/>
      <c r="N13" s="624"/>
      <c r="O13" s="618"/>
      <c r="P13" s="624"/>
      <c r="Q13" s="624"/>
      <c r="R13" s="624"/>
      <c r="S13" s="624"/>
      <c r="T13" s="624"/>
      <c r="U13" s="624"/>
      <c r="V13" s="618"/>
      <c r="W13" s="624"/>
      <c r="X13" s="624"/>
      <c r="Y13" s="624"/>
      <c r="Z13" s="618"/>
      <c r="AA13" s="624"/>
      <c r="AB13" s="624"/>
      <c r="AC13" s="624"/>
      <c r="AD13" s="624"/>
      <c r="AE13" s="618"/>
      <c r="AF13" s="613"/>
      <c r="AG13" s="613"/>
      <c r="AH13" s="613"/>
      <c r="AI13" s="613"/>
      <c r="AJ13" s="613"/>
      <c r="AK13" s="613"/>
      <c r="AL13" s="613"/>
      <c r="AM13" s="613"/>
    </row>
    <row r="14" spans="1:45" ht="18.600000000000001" customHeight="1" x14ac:dyDescent="0.25">
      <c r="A14" s="625">
        <v>45108</v>
      </c>
      <c r="B14" s="626"/>
      <c r="C14" s="1053">
        <f>IF(AND(AP14&gt;0),(H14+$AP$5+AP14),0)</f>
        <v>0</v>
      </c>
      <c r="D14" s="1053"/>
      <c r="E14" s="1053"/>
      <c r="F14" s="1053"/>
      <c r="G14" s="626"/>
      <c r="H14" s="1063"/>
      <c r="I14" s="1064"/>
      <c r="J14" s="1065"/>
      <c r="K14" s="633"/>
      <c r="L14" s="1055">
        <f>C14-H14</f>
        <v>0</v>
      </c>
      <c r="M14" s="1055"/>
      <c r="N14" s="1055"/>
      <c r="O14" s="1055"/>
      <c r="P14" s="627"/>
      <c r="Q14" s="625">
        <f>A14</f>
        <v>45108</v>
      </c>
      <c r="R14" s="626"/>
      <c r="S14" s="1053">
        <f>IF(AND(AQ14&gt;0),(X14+$AP$5+AQ14),0)</f>
        <v>0</v>
      </c>
      <c r="T14" s="1053"/>
      <c r="U14" s="1053"/>
      <c r="V14" s="1053"/>
      <c r="W14" s="626"/>
      <c r="X14" s="1056"/>
      <c r="Y14" s="1057"/>
      <c r="Z14" s="1058"/>
      <c r="AA14" s="494"/>
      <c r="AB14" s="1055">
        <f>S14-X14</f>
        <v>0</v>
      </c>
      <c r="AC14" s="1055"/>
      <c r="AD14" s="1055"/>
      <c r="AE14" s="1055"/>
      <c r="AF14" s="613"/>
      <c r="AG14" s="613"/>
      <c r="AH14" s="613"/>
      <c r="AI14" s="613"/>
      <c r="AJ14" s="613"/>
      <c r="AK14" s="613"/>
      <c r="AL14" s="613"/>
      <c r="AM14" s="613"/>
      <c r="AP14" s="612">
        <f t="shared" ref="AP14:AP26" si="0">IF(AND(H14&gt;0,H14&lt;1950),(H14/10%)+500,0)+IF(AND(H14&gt;=1950,H14&lt;999999999999999),(H14/12%)+20000,0)</f>
        <v>0</v>
      </c>
      <c r="AQ14" s="612">
        <f>IF(AND(X14&gt;0,X14&lt;1950),(X14/10%)+500,0)+IF(AND(X14&gt;=1950,X14&lt;999999999999999),(X14/12%)+20000,0)</f>
        <v>0</v>
      </c>
      <c r="AS14" s="628"/>
    </row>
    <row r="15" spans="1:45" ht="18.600000000000001" customHeight="1" x14ac:dyDescent="0.25">
      <c r="A15" s="625">
        <v>45139</v>
      </c>
      <c r="B15" s="626"/>
      <c r="C15" s="1053">
        <f t="shared" ref="C15:C25" si="1">IF(AND(AP15&gt;0),(H15+$AP$5+AP15),0)</f>
        <v>0</v>
      </c>
      <c r="D15" s="1053"/>
      <c r="E15" s="1053"/>
      <c r="F15" s="1053"/>
      <c r="G15" s="626"/>
      <c r="H15" s="1063"/>
      <c r="I15" s="1064"/>
      <c r="J15" s="1065"/>
      <c r="K15" s="626"/>
      <c r="L15" s="1055">
        <f t="shared" ref="L15:L25" si="2">C15-H15</f>
        <v>0</v>
      </c>
      <c r="M15" s="1055"/>
      <c r="N15" s="1055"/>
      <c r="O15" s="1055"/>
      <c r="P15" s="627"/>
      <c r="Q15" s="625">
        <f t="shared" ref="Q15:Q25" si="3">A15</f>
        <v>45139</v>
      </c>
      <c r="R15" s="626"/>
      <c r="S15" s="1053">
        <f t="shared" ref="S15:S25" si="4">IF(AND(AQ15&gt;0),(X15+$AP$5+AQ15),0)</f>
        <v>0</v>
      </c>
      <c r="T15" s="1053"/>
      <c r="U15" s="1053"/>
      <c r="V15" s="1053"/>
      <c r="W15" s="626"/>
      <c r="X15" s="1054"/>
      <c r="Y15" s="1054"/>
      <c r="Z15" s="1054"/>
      <c r="AA15" s="494"/>
      <c r="AB15" s="1055">
        <f t="shared" ref="AB15:AB25" si="5">S15-X15</f>
        <v>0</v>
      </c>
      <c r="AC15" s="1055"/>
      <c r="AD15" s="1055"/>
      <c r="AE15" s="1055"/>
      <c r="AF15" s="613"/>
      <c r="AG15" s="613"/>
      <c r="AH15" s="613"/>
      <c r="AI15" s="613"/>
      <c r="AJ15" s="613"/>
      <c r="AK15" s="613"/>
      <c r="AL15" s="613"/>
      <c r="AM15" s="613"/>
      <c r="AP15" s="612">
        <f t="shared" si="0"/>
        <v>0</v>
      </c>
      <c r="AQ15" s="612">
        <f t="shared" ref="AQ15:AQ26" si="6">IF(AND(X15&gt;0,X15&lt;1950),(X15/10%)+500,0)+IF(AND(X15&gt;=1950,X15&lt;999999999999999),(X15/12%)+20000,0)</f>
        <v>0</v>
      </c>
    </row>
    <row r="16" spans="1:45" ht="18.600000000000001" customHeight="1" x14ac:dyDescent="0.25">
      <c r="A16" s="625">
        <v>45170</v>
      </c>
      <c r="B16" s="626"/>
      <c r="C16" s="1053">
        <f t="shared" si="1"/>
        <v>0</v>
      </c>
      <c r="D16" s="1053"/>
      <c r="E16" s="1053"/>
      <c r="F16" s="1053"/>
      <c r="G16" s="626"/>
      <c r="H16" s="1063"/>
      <c r="I16" s="1064"/>
      <c r="J16" s="1065"/>
      <c r="K16" s="626"/>
      <c r="L16" s="1055">
        <f t="shared" si="2"/>
        <v>0</v>
      </c>
      <c r="M16" s="1055"/>
      <c r="N16" s="1055"/>
      <c r="O16" s="1055"/>
      <c r="P16" s="627"/>
      <c r="Q16" s="625">
        <f t="shared" si="3"/>
        <v>45170</v>
      </c>
      <c r="R16" s="626"/>
      <c r="S16" s="1053">
        <f t="shared" si="4"/>
        <v>0</v>
      </c>
      <c r="T16" s="1053"/>
      <c r="U16" s="1053"/>
      <c r="V16" s="1053"/>
      <c r="W16" s="626"/>
      <c r="X16" s="1054"/>
      <c r="Y16" s="1054"/>
      <c r="Z16" s="1054"/>
      <c r="AA16" s="494"/>
      <c r="AB16" s="1055">
        <f t="shared" si="5"/>
        <v>0</v>
      </c>
      <c r="AC16" s="1055"/>
      <c r="AD16" s="1055"/>
      <c r="AE16" s="1055"/>
      <c r="AF16" s="613"/>
      <c r="AG16" s="613"/>
      <c r="AH16" s="613"/>
      <c r="AI16" s="613"/>
      <c r="AJ16" s="613"/>
      <c r="AK16" s="613"/>
      <c r="AL16" s="613"/>
      <c r="AM16" s="613"/>
      <c r="AP16" s="612">
        <f t="shared" si="0"/>
        <v>0</v>
      </c>
      <c r="AQ16" s="612">
        <f t="shared" si="6"/>
        <v>0</v>
      </c>
    </row>
    <row r="17" spans="1:43" ht="18.600000000000001" customHeight="1" x14ac:dyDescent="0.25">
      <c r="A17" s="625">
        <v>45200</v>
      </c>
      <c r="B17" s="626"/>
      <c r="C17" s="1053">
        <f t="shared" si="1"/>
        <v>0</v>
      </c>
      <c r="D17" s="1053"/>
      <c r="E17" s="1053"/>
      <c r="F17" s="1053"/>
      <c r="G17" s="626"/>
      <c r="H17" s="1063"/>
      <c r="I17" s="1064"/>
      <c r="J17" s="1065"/>
      <c r="K17" s="626"/>
      <c r="L17" s="1055">
        <f t="shared" si="2"/>
        <v>0</v>
      </c>
      <c r="M17" s="1055"/>
      <c r="N17" s="1055"/>
      <c r="O17" s="1055"/>
      <c r="P17" s="627"/>
      <c r="Q17" s="625">
        <f t="shared" si="3"/>
        <v>45200</v>
      </c>
      <c r="R17" s="626"/>
      <c r="S17" s="1053">
        <f t="shared" si="4"/>
        <v>0</v>
      </c>
      <c r="T17" s="1053"/>
      <c r="U17" s="1053"/>
      <c r="V17" s="1053"/>
      <c r="W17" s="626"/>
      <c r="X17" s="1054"/>
      <c r="Y17" s="1054"/>
      <c r="Z17" s="1054"/>
      <c r="AA17" s="494"/>
      <c r="AB17" s="1055">
        <f t="shared" si="5"/>
        <v>0</v>
      </c>
      <c r="AC17" s="1055"/>
      <c r="AD17" s="1055"/>
      <c r="AE17" s="1055"/>
      <c r="AF17" s="613"/>
      <c r="AG17" s="613"/>
      <c r="AH17" s="613"/>
      <c r="AI17" s="613"/>
      <c r="AJ17" s="613"/>
      <c r="AK17" s="613"/>
      <c r="AL17" s="613"/>
      <c r="AM17" s="613"/>
      <c r="AP17" s="612">
        <f t="shared" si="0"/>
        <v>0</v>
      </c>
      <c r="AQ17" s="612">
        <f t="shared" si="6"/>
        <v>0</v>
      </c>
    </row>
    <row r="18" spans="1:43" ht="18.600000000000001" customHeight="1" x14ac:dyDescent="0.25">
      <c r="A18" s="625">
        <v>45231</v>
      </c>
      <c r="B18" s="626"/>
      <c r="C18" s="1053">
        <f t="shared" si="1"/>
        <v>0</v>
      </c>
      <c r="D18" s="1053"/>
      <c r="E18" s="1053"/>
      <c r="F18" s="1053"/>
      <c r="G18" s="626"/>
      <c r="H18" s="1063"/>
      <c r="I18" s="1064"/>
      <c r="J18" s="1065"/>
      <c r="K18" s="626"/>
      <c r="L18" s="1055">
        <f t="shared" si="2"/>
        <v>0</v>
      </c>
      <c r="M18" s="1055"/>
      <c r="N18" s="1055"/>
      <c r="O18" s="1055"/>
      <c r="P18" s="627"/>
      <c r="Q18" s="625">
        <f t="shared" si="3"/>
        <v>45231</v>
      </c>
      <c r="R18" s="626"/>
      <c r="S18" s="1053">
        <f t="shared" si="4"/>
        <v>0</v>
      </c>
      <c r="T18" s="1053"/>
      <c r="U18" s="1053"/>
      <c r="V18" s="1053"/>
      <c r="W18" s="626"/>
      <c r="X18" s="1054"/>
      <c r="Y18" s="1054"/>
      <c r="Z18" s="1054"/>
      <c r="AA18" s="494"/>
      <c r="AB18" s="1055">
        <f t="shared" si="5"/>
        <v>0</v>
      </c>
      <c r="AC18" s="1055"/>
      <c r="AD18" s="1055"/>
      <c r="AE18" s="1055"/>
      <c r="AF18" s="613"/>
      <c r="AG18" s="613"/>
      <c r="AH18" s="613"/>
      <c r="AI18" s="613"/>
      <c r="AJ18" s="613"/>
      <c r="AK18" s="613"/>
      <c r="AL18" s="613"/>
      <c r="AM18" s="613"/>
      <c r="AP18" s="612">
        <f t="shared" si="0"/>
        <v>0</v>
      </c>
      <c r="AQ18" s="612">
        <f t="shared" si="6"/>
        <v>0</v>
      </c>
    </row>
    <row r="19" spans="1:43" ht="18.600000000000001" customHeight="1" x14ac:dyDescent="0.25">
      <c r="A19" s="625">
        <v>45261</v>
      </c>
      <c r="B19" s="626"/>
      <c r="C19" s="1053">
        <f t="shared" si="1"/>
        <v>0</v>
      </c>
      <c r="D19" s="1053"/>
      <c r="E19" s="1053"/>
      <c r="F19" s="1053"/>
      <c r="G19" s="626"/>
      <c r="H19" s="1063"/>
      <c r="I19" s="1064"/>
      <c r="J19" s="1065"/>
      <c r="K19" s="626"/>
      <c r="L19" s="1055">
        <f t="shared" si="2"/>
        <v>0</v>
      </c>
      <c r="M19" s="1055"/>
      <c r="N19" s="1055"/>
      <c r="O19" s="1055"/>
      <c r="P19" s="627"/>
      <c r="Q19" s="625">
        <f t="shared" si="3"/>
        <v>45261</v>
      </c>
      <c r="R19" s="626"/>
      <c r="S19" s="1053">
        <f t="shared" si="4"/>
        <v>0</v>
      </c>
      <c r="T19" s="1053"/>
      <c r="U19" s="1053"/>
      <c r="V19" s="1053"/>
      <c r="W19" s="626"/>
      <c r="X19" s="1054"/>
      <c r="Y19" s="1054"/>
      <c r="Z19" s="1054"/>
      <c r="AA19" s="494"/>
      <c r="AB19" s="1055">
        <f t="shared" si="5"/>
        <v>0</v>
      </c>
      <c r="AC19" s="1055"/>
      <c r="AD19" s="1055"/>
      <c r="AE19" s="1055"/>
      <c r="AF19" s="613"/>
      <c r="AG19" s="613"/>
      <c r="AH19" s="613"/>
      <c r="AI19" s="613"/>
      <c r="AJ19" s="613"/>
      <c r="AK19" s="613"/>
      <c r="AL19" s="613"/>
      <c r="AM19" s="613"/>
      <c r="AP19" s="612">
        <f t="shared" si="0"/>
        <v>0</v>
      </c>
      <c r="AQ19" s="612">
        <f t="shared" si="6"/>
        <v>0</v>
      </c>
    </row>
    <row r="20" spans="1:43" ht="18.600000000000001" customHeight="1" x14ac:dyDescent="0.25">
      <c r="A20" s="625">
        <v>45292</v>
      </c>
      <c r="B20" s="626"/>
      <c r="C20" s="1053">
        <f t="shared" si="1"/>
        <v>0</v>
      </c>
      <c r="D20" s="1053"/>
      <c r="E20" s="1053"/>
      <c r="F20" s="1053"/>
      <c r="G20" s="626"/>
      <c r="H20" s="1063"/>
      <c r="I20" s="1064"/>
      <c r="J20" s="1065"/>
      <c r="K20" s="626"/>
      <c r="L20" s="1055">
        <f t="shared" si="2"/>
        <v>0</v>
      </c>
      <c r="M20" s="1055"/>
      <c r="N20" s="1055"/>
      <c r="O20" s="1055"/>
      <c r="P20" s="627"/>
      <c r="Q20" s="625">
        <f t="shared" si="3"/>
        <v>45292</v>
      </c>
      <c r="R20" s="626"/>
      <c r="S20" s="1053">
        <f t="shared" si="4"/>
        <v>0</v>
      </c>
      <c r="T20" s="1053"/>
      <c r="U20" s="1053"/>
      <c r="V20" s="1053"/>
      <c r="W20" s="626"/>
      <c r="X20" s="1054"/>
      <c r="Y20" s="1054"/>
      <c r="Z20" s="1054"/>
      <c r="AA20" s="494"/>
      <c r="AB20" s="1055">
        <f t="shared" si="5"/>
        <v>0</v>
      </c>
      <c r="AC20" s="1055"/>
      <c r="AD20" s="1055"/>
      <c r="AE20" s="1055"/>
      <c r="AF20" s="613"/>
      <c r="AG20" s="613"/>
      <c r="AH20" s="613"/>
      <c r="AI20" s="613"/>
      <c r="AJ20" s="613"/>
      <c r="AK20" s="613"/>
      <c r="AL20" s="613"/>
      <c r="AM20" s="613"/>
      <c r="AP20" s="612">
        <f t="shared" si="0"/>
        <v>0</v>
      </c>
      <c r="AQ20" s="612">
        <f t="shared" si="6"/>
        <v>0</v>
      </c>
    </row>
    <row r="21" spans="1:43" ht="18.600000000000001" customHeight="1" x14ac:dyDescent="0.25">
      <c r="A21" s="625">
        <v>45323</v>
      </c>
      <c r="B21" s="626"/>
      <c r="C21" s="1053">
        <f t="shared" si="1"/>
        <v>0</v>
      </c>
      <c r="D21" s="1053"/>
      <c r="E21" s="1053"/>
      <c r="F21" s="1053"/>
      <c r="G21" s="626"/>
      <c r="H21" s="1063"/>
      <c r="I21" s="1064"/>
      <c r="J21" s="1065"/>
      <c r="K21" s="626"/>
      <c r="L21" s="1055">
        <f t="shared" si="2"/>
        <v>0</v>
      </c>
      <c r="M21" s="1055"/>
      <c r="N21" s="1055"/>
      <c r="O21" s="1055"/>
      <c r="P21" s="627"/>
      <c r="Q21" s="625">
        <f t="shared" si="3"/>
        <v>45323</v>
      </c>
      <c r="R21" s="626"/>
      <c r="S21" s="1053">
        <f t="shared" si="4"/>
        <v>0</v>
      </c>
      <c r="T21" s="1053"/>
      <c r="U21" s="1053"/>
      <c r="V21" s="1053"/>
      <c r="W21" s="626"/>
      <c r="X21" s="1054"/>
      <c r="Y21" s="1054"/>
      <c r="Z21" s="1054"/>
      <c r="AA21" s="494"/>
      <c r="AB21" s="1055">
        <f t="shared" si="5"/>
        <v>0</v>
      </c>
      <c r="AC21" s="1055"/>
      <c r="AD21" s="1055"/>
      <c r="AE21" s="1055"/>
      <c r="AF21" s="613"/>
      <c r="AG21" s="613"/>
      <c r="AH21" s="613"/>
      <c r="AI21" s="613"/>
      <c r="AJ21" s="613"/>
      <c r="AK21" s="613"/>
      <c r="AL21" s="613"/>
      <c r="AM21" s="613"/>
      <c r="AP21" s="612">
        <f t="shared" si="0"/>
        <v>0</v>
      </c>
      <c r="AQ21" s="612">
        <f t="shared" si="6"/>
        <v>0</v>
      </c>
    </row>
    <row r="22" spans="1:43" ht="18.600000000000001" customHeight="1" x14ac:dyDescent="0.25">
      <c r="A22" s="625">
        <v>45352</v>
      </c>
      <c r="B22" s="626"/>
      <c r="C22" s="1053">
        <f t="shared" si="1"/>
        <v>0</v>
      </c>
      <c r="D22" s="1053"/>
      <c r="E22" s="1053"/>
      <c r="F22" s="1053"/>
      <c r="G22" s="626"/>
      <c r="H22" s="1063"/>
      <c r="I22" s="1064"/>
      <c r="J22" s="1065"/>
      <c r="K22" s="626"/>
      <c r="L22" s="1055">
        <f t="shared" si="2"/>
        <v>0</v>
      </c>
      <c r="M22" s="1055"/>
      <c r="N22" s="1055"/>
      <c r="O22" s="1055"/>
      <c r="P22" s="627"/>
      <c r="Q22" s="625">
        <f t="shared" si="3"/>
        <v>45352</v>
      </c>
      <c r="R22" s="626"/>
      <c r="S22" s="1053">
        <f t="shared" si="4"/>
        <v>0</v>
      </c>
      <c r="T22" s="1053"/>
      <c r="U22" s="1053"/>
      <c r="V22" s="1053"/>
      <c r="W22" s="626"/>
      <c r="X22" s="1054"/>
      <c r="Y22" s="1054"/>
      <c r="Z22" s="1054"/>
      <c r="AA22" s="494"/>
      <c r="AB22" s="1055">
        <f t="shared" si="5"/>
        <v>0</v>
      </c>
      <c r="AC22" s="1055"/>
      <c r="AD22" s="1055"/>
      <c r="AE22" s="1055"/>
      <c r="AF22" s="613"/>
      <c r="AG22" s="613"/>
      <c r="AH22" s="613"/>
      <c r="AI22" s="613"/>
      <c r="AJ22" s="613"/>
      <c r="AK22" s="613"/>
      <c r="AL22" s="613"/>
      <c r="AM22" s="613"/>
      <c r="AP22" s="612">
        <f t="shared" si="0"/>
        <v>0</v>
      </c>
      <c r="AQ22" s="612">
        <f t="shared" si="6"/>
        <v>0</v>
      </c>
    </row>
    <row r="23" spans="1:43" ht="18.600000000000001" customHeight="1" x14ac:dyDescent="0.25">
      <c r="A23" s="625">
        <v>45383</v>
      </c>
      <c r="B23" s="626"/>
      <c r="C23" s="1053">
        <f t="shared" si="1"/>
        <v>0</v>
      </c>
      <c r="D23" s="1053"/>
      <c r="E23" s="1053"/>
      <c r="F23" s="1053"/>
      <c r="G23" s="626"/>
      <c r="H23" s="1063"/>
      <c r="I23" s="1064"/>
      <c r="J23" s="1065"/>
      <c r="K23" s="626"/>
      <c r="L23" s="1055">
        <f t="shared" si="2"/>
        <v>0</v>
      </c>
      <c r="M23" s="1055"/>
      <c r="N23" s="1055"/>
      <c r="O23" s="1055"/>
      <c r="P23" s="627"/>
      <c r="Q23" s="625">
        <f t="shared" si="3"/>
        <v>45383</v>
      </c>
      <c r="R23" s="626"/>
      <c r="S23" s="1053">
        <f t="shared" si="4"/>
        <v>0</v>
      </c>
      <c r="T23" s="1053"/>
      <c r="U23" s="1053"/>
      <c r="V23" s="1053"/>
      <c r="W23" s="626"/>
      <c r="X23" s="1054"/>
      <c r="Y23" s="1054"/>
      <c r="Z23" s="1054"/>
      <c r="AA23" s="494"/>
      <c r="AB23" s="1055">
        <f t="shared" si="5"/>
        <v>0</v>
      </c>
      <c r="AC23" s="1055"/>
      <c r="AD23" s="1055"/>
      <c r="AE23" s="1055"/>
      <c r="AF23" s="613"/>
      <c r="AG23" s="613"/>
      <c r="AH23" s="613"/>
      <c r="AI23" s="613"/>
      <c r="AJ23" s="613"/>
      <c r="AK23" s="613"/>
      <c r="AL23" s="613"/>
      <c r="AM23" s="613"/>
      <c r="AP23" s="612">
        <f t="shared" si="0"/>
        <v>0</v>
      </c>
      <c r="AQ23" s="612">
        <f t="shared" si="6"/>
        <v>0</v>
      </c>
    </row>
    <row r="24" spans="1:43" ht="18.600000000000001" customHeight="1" x14ac:dyDescent="0.25">
      <c r="A24" s="625">
        <v>45413</v>
      </c>
      <c r="B24" s="626"/>
      <c r="C24" s="1053">
        <f t="shared" si="1"/>
        <v>0</v>
      </c>
      <c r="D24" s="1053"/>
      <c r="E24" s="1053"/>
      <c r="F24" s="1053"/>
      <c r="G24" s="626"/>
      <c r="H24" s="1063"/>
      <c r="I24" s="1064"/>
      <c r="J24" s="1065"/>
      <c r="K24" s="626"/>
      <c r="L24" s="1055">
        <f t="shared" si="2"/>
        <v>0</v>
      </c>
      <c r="M24" s="1055"/>
      <c r="N24" s="1055"/>
      <c r="O24" s="1055"/>
      <c r="P24" s="627"/>
      <c r="Q24" s="625">
        <f t="shared" si="3"/>
        <v>45413</v>
      </c>
      <c r="R24" s="626"/>
      <c r="S24" s="1053">
        <f t="shared" si="4"/>
        <v>0</v>
      </c>
      <c r="T24" s="1053"/>
      <c r="U24" s="1053"/>
      <c r="V24" s="1053"/>
      <c r="W24" s="626"/>
      <c r="X24" s="1054"/>
      <c r="Y24" s="1054"/>
      <c r="Z24" s="1054"/>
      <c r="AA24" s="494"/>
      <c r="AB24" s="1055">
        <f t="shared" si="5"/>
        <v>0</v>
      </c>
      <c r="AC24" s="1055"/>
      <c r="AD24" s="1055"/>
      <c r="AE24" s="1055"/>
      <c r="AF24" s="613"/>
      <c r="AG24" s="613"/>
      <c r="AH24" s="613"/>
      <c r="AI24" s="613"/>
      <c r="AJ24" s="613"/>
      <c r="AK24" s="613"/>
      <c r="AL24" s="613"/>
      <c r="AM24" s="613"/>
      <c r="AP24" s="612">
        <f t="shared" si="0"/>
        <v>0</v>
      </c>
      <c r="AQ24" s="612">
        <f t="shared" si="6"/>
        <v>0</v>
      </c>
    </row>
    <row r="25" spans="1:43" ht="18.600000000000001" customHeight="1" x14ac:dyDescent="0.25">
      <c r="A25" s="625">
        <v>45444</v>
      </c>
      <c r="B25" s="626"/>
      <c r="C25" s="1053">
        <f t="shared" si="1"/>
        <v>0</v>
      </c>
      <c r="D25" s="1053"/>
      <c r="E25" s="1053"/>
      <c r="F25" s="1053"/>
      <c r="G25" s="626"/>
      <c r="H25" s="1063"/>
      <c r="I25" s="1064"/>
      <c r="J25" s="1065"/>
      <c r="K25" s="626"/>
      <c r="L25" s="1055">
        <f t="shared" si="2"/>
        <v>0</v>
      </c>
      <c r="M25" s="1055"/>
      <c r="N25" s="1055"/>
      <c r="O25" s="1055"/>
      <c r="P25" s="627"/>
      <c r="Q25" s="625">
        <f t="shared" si="3"/>
        <v>45444</v>
      </c>
      <c r="R25" s="626"/>
      <c r="S25" s="1053">
        <f t="shared" si="4"/>
        <v>0</v>
      </c>
      <c r="T25" s="1053"/>
      <c r="U25" s="1053"/>
      <c r="V25" s="1053"/>
      <c r="W25" s="626"/>
      <c r="X25" s="1054"/>
      <c r="Y25" s="1054"/>
      <c r="Z25" s="1054"/>
      <c r="AA25" s="494"/>
      <c r="AB25" s="1055">
        <f t="shared" si="5"/>
        <v>0</v>
      </c>
      <c r="AC25" s="1055"/>
      <c r="AD25" s="1055"/>
      <c r="AE25" s="1055"/>
      <c r="AF25" s="613"/>
      <c r="AG25" s="613"/>
      <c r="AH25" s="613"/>
      <c r="AI25" s="613"/>
      <c r="AJ25" s="613"/>
      <c r="AK25" s="613"/>
      <c r="AL25" s="613"/>
      <c r="AM25" s="613"/>
      <c r="AP25" s="612">
        <f t="shared" si="0"/>
        <v>0</v>
      </c>
      <c r="AQ25" s="612">
        <f t="shared" si="6"/>
        <v>0</v>
      </c>
    </row>
    <row r="26" spans="1:43" x14ac:dyDescent="0.25">
      <c r="A26" s="618"/>
      <c r="B26" s="626"/>
      <c r="C26" s="626"/>
      <c r="D26" s="626"/>
      <c r="E26" s="626"/>
      <c r="F26" s="626"/>
      <c r="G26" s="626"/>
      <c r="H26" s="626"/>
      <c r="I26" s="626"/>
      <c r="J26" s="626"/>
      <c r="K26" s="626"/>
      <c r="L26" s="626"/>
      <c r="M26" s="626"/>
      <c r="N26" s="626"/>
      <c r="O26" s="618"/>
      <c r="P26" s="618"/>
      <c r="Q26" s="618"/>
      <c r="R26" s="626"/>
      <c r="S26" s="626"/>
      <c r="T26" s="626"/>
      <c r="U26" s="626"/>
      <c r="V26" s="626"/>
      <c r="W26" s="626"/>
      <c r="X26" s="626"/>
      <c r="Y26" s="626"/>
      <c r="Z26" s="626"/>
      <c r="AA26" s="626"/>
      <c r="AB26" s="626"/>
      <c r="AC26" s="626"/>
      <c r="AD26" s="626"/>
      <c r="AE26" s="618"/>
      <c r="AF26" s="613"/>
      <c r="AG26" s="613"/>
      <c r="AH26" s="613"/>
      <c r="AI26" s="613"/>
      <c r="AJ26" s="613"/>
      <c r="AK26" s="613"/>
      <c r="AL26" s="613"/>
      <c r="AM26" s="613"/>
      <c r="AP26" s="612">
        <f t="shared" si="0"/>
        <v>0</v>
      </c>
      <c r="AQ26" s="612">
        <f t="shared" si="6"/>
        <v>0</v>
      </c>
    </row>
    <row r="27" spans="1:43" ht="18" customHeight="1" thickBot="1" x14ac:dyDescent="0.3">
      <c r="A27" s="627"/>
      <c r="B27" s="626"/>
      <c r="C27" s="1051">
        <f>SUM(C14:F25)</f>
        <v>0</v>
      </c>
      <c r="D27" s="1051"/>
      <c r="E27" s="1051"/>
      <c r="F27" s="1051"/>
      <c r="G27" s="626"/>
      <c r="H27" s="1051">
        <f>SUM(H14:J26)</f>
        <v>0</v>
      </c>
      <c r="I27" s="1051"/>
      <c r="J27" s="1051"/>
      <c r="K27" s="626"/>
      <c r="L27" s="1052">
        <f>C27-H27</f>
        <v>0</v>
      </c>
      <c r="M27" s="1052"/>
      <c r="N27" s="1052"/>
      <c r="O27" s="1052"/>
      <c r="P27" s="618"/>
      <c r="Q27" s="627"/>
      <c r="R27" s="626"/>
      <c r="S27" s="1051">
        <f>SUM(S14:V25)</f>
        <v>0</v>
      </c>
      <c r="T27" s="1051"/>
      <c r="U27" s="1051"/>
      <c r="V27" s="1051"/>
      <c r="W27" s="626"/>
      <c r="X27" s="1051">
        <f>SUM(X14:Z26)</f>
        <v>0</v>
      </c>
      <c r="Y27" s="1051"/>
      <c r="Z27" s="1051"/>
      <c r="AA27" s="626"/>
      <c r="AB27" s="1052">
        <f>S27-X27</f>
        <v>0</v>
      </c>
      <c r="AC27" s="1052"/>
      <c r="AD27" s="1052"/>
      <c r="AE27" s="1052"/>
      <c r="AF27" s="613"/>
      <c r="AG27" s="613"/>
      <c r="AH27" s="613"/>
      <c r="AI27" s="613"/>
      <c r="AJ27" s="613"/>
      <c r="AK27" s="613"/>
      <c r="AL27" s="613"/>
      <c r="AM27" s="613"/>
    </row>
    <row r="28" spans="1:43" ht="13.8" thickTop="1" x14ac:dyDescent="0.25">
      <c r="A28" s="627"/>
      <c r="B28" s="626"/>
      <c r="C28" s="629"/>
      <c r="D28" s="629"/>
      <c r="E28" s="629"/>
      <c r="F28" s="629"/>
      <c r="G28" s="626"/>
      <c r="H28" s="629"/>
      <c r="I28" s="629"/>
      <c r="J28" s="629"/>
      <c r="K28" s="626"/>
      <c r="L28" s="629"/>
      <c r="M28" s="629"/>
      <c r="N28" s="629"/>
      <c r="O28" s="629"/>
      <c r="P28" s="618"/>
      <c r="Q28" s="627"/>
      <c r="R28" s="626"/>
      <c r="S28" s="629"/>
      <c r="T28" s="629"/>
      <c r="U28" s="629"/>
      <c r="V28" s="629"/>
      <c r="W28" s="626"/>
      <c r="X28" s="629"/>
      <c r="Y28" s="629"/>
      <c r="Z28" s="629"/>
      <c r="AA28" s="626"/>
      <c r="AB28" s="629"/>
      <c r="AC28" s="629"/>
      <c r="AD28" s="629"/>
      <c r="AE28" s="629"/>
      <c r="AF28" s="613"/>
      <c r="AG28" s="613"/>
      <c r="AH28" s="613"/>
      <c r="AI28" s="613"/>
      <c r="AJ28" s="613"/>
      <c r="AK28" s="613"/>
      <c r="AL28" s="613"/>
      <c r="AM28" s="613"/>
    </row>
    <row r="29" spans="1:43" x14ac:dyDescent="0.25">
      <c r="A29" s="627"/>
      <c r="B29" s="626"/>
      <c r="C29" s="629"/>
      <c r="D29" s="629"/>
      <c r="E29" s="629"/>
      <c r="F29" s="629"/>
      <c r="G29" s="626"/>
      <c r="H29" s="629"/>
      <c r="I29" s="629"/>
      <c r="J29" s="629"/>
      <c r="K29" s="626"/>
      <c r="L29" s="629"/>
      <c r="M29" s="629"/>
      <c r="N29" s="629"/>
      <c r="O29" s="629"/>
      <c r="P29" s="618"/>
      <c r="Q29" s="627"/>
      <c r="R29" s="626"/>
      <c r="S29" s="629"/>
      <c r="T29" s="629"/>
      <c r="U29" s="629"/>
      <c r="V29" s="629"/>
      <c r="W29" s="626"/>
      <c r="X29" s="629"/>
      <c r="Y29" s="629"/>
      <c r="Z29" s="629"/>
      <c r="AA29" s="626"/>
      <c r="AB29" s="629"/>
      <c r="AC29" s="629"/>
      <c r="AD29" s="629"/>
      <c r="AE29" s="629"/>
      <c r="AF29" s="613"/>
      <c r="AG29" s="613"/>
      <c r="AH29" s="613"/>
      <c r="AI29" s="613"/>
      <c r="AJ29" s="613"/>
      <c r="AK29" s="613"/>
      <c r="AL29" s="613"/>
      <c r="AM29" s="613"/>
    </row>
    <row r="30" spans="1:43" x14ac:dyDescent="0.25">
      <c r="A30" s="1060" t="s">
        <v>657</v>
      </c>
      <c r="B30" s="1060"/>
      <c r="C30" s="1060"/>
      <c r="D30" s="1060"/>
      <c r="E30" s="1061"/>
      <c r="F30" s="1061"/>
      <c r="G30" s="1061"/>
      <c r="H30" s="1061"/>
      <c r="I30" s="1061"/>
      <c r="J30" s="1061"/>
      <c r="K30" s="1061"/>
      <c r="L30" s="1061"/>
      <c r="M30" s="1061"/>
      <c r="N30" s="1061"/>
      <c r="O30" s="1061"/>
      <c r="P30" s="615"/>
      <c r="Q30" s="1060" t="s">
        <v>657</v>
      </c>
      <c r="R30" s="1060"/>
      <c r="S30" s="1060"/>
      <c r="T30" s="1060"/>
      <c r="U30" s="1061"/>
      <c r="V30" s="1061"/>
      <c r="W30" s="1061"/>
      <c r="X30" s="1061"/>
      <c r="Y30" s="1061"/>
      <c r="Z30" s="1061"/>
      <c r="AA30" s="1061"/>
      <c r="AB30" s="1061"/>
      <c r="AC30" s="1061"/>
      <c r="AD30" s="1061"/>
      <c r="AE30" s="615"/>
      <c r="AF30" s="613"/>
      <c r="AG30" s="613"/>
      <c r="AH30" s="613"/>
      <c r="AI30" s="613"/>
      <c r="AJ30" s="613"/>
      <c r="AK30" s="613"/>
      <c r="AL30" s="613"/>
      <c r="AM30" s="613"/>
    </row>
    <row r="31" spans="1:43" ht="12" customHeight="1" x14ac:dyDescent="0.25">
      <c r="A31" s="630"/>
      <c r="B31" s="630"/>
      <c r="C31" s="631"/>
      <c r="D31" s="631"/>
      <c r="E31" s="616"/>
      <c r="F31" s="616"/>
      <c r="G31" s="616"/>
      <c r="H31" s="616"/>
      <c r="I31" s="616"/>
      <c r="J31" s="616"/>
      <c r="K31" s="616"/>
      <c r="L31" s="616"/>
      <c r="M31" s="616"/>
      <c r="N31" s="616"/>
      <c r="O31" s="616"/>
      <c r="P31" s="615"/>
      <c r="Q31" s="630"/>
      <c r="R31" s="630"/>
      <c r="S31" s="631"/>
      <c r="T31" s="631"/>
      <c r="U31" s="615"/>
      <c r="V31" s="616"/>
      <c r="W31" s="616"/>
      <c r="X31" s="616"/>
      <c r="Y31" s="616"/>
      <c r="Z31" s="616"/>
      <c r="AA31" s="616"/>
      <c r="AB31" s="616"/>
      <c r="AC31" s="616"/>
      <c r="AD31" s="616"/>
      <c r="AE31" s="615"/>
      <c r="AF31" s="613"/>
      <c r="AG31" s="613"/>
      <c r="AH31" s="613"/>
      <c r="AI31" s="613"/>
      <c r="AJ31" s="613"/>
      <c r="AK31" s="613"/>
      <c r="AL31" s="613"/>
      <c r="AM31" s="613"/>
    </row>
    <row r="32" spans="1:43" x14ac:dyDescent="0.25">
      <c r="A32" s="1060" t="s">
        <v>658</v>
      </c>
      <c r="B32" s="1060"/>
      <c r="C32" s="1060"/>
      <c r="D32" s="1060"/>
      <c r="E32" s="1061"/>
      <c r="F32" s="1061"/>
      <c r="G32" s="1061"/>
      <c r="H32" s="1061"/>
      <c r="I32" s="1061"/>
      <c r="J32" s="1061"/>
      <c r="K32" s="1061"/>
      <c r="L32" s="1061"/>
      <c r="M32" s="1061"/>
      <c r="N32" s="1061"/>
      <c r="O32" s="1061"/>
      <c r="P32" s="615"/>
      <c r="Q32" s="1060" t="s">
        <v>658</v>
      </c>
      <c r="R32" s="1060"/>
      <c r="S32" s="1060"/>
      <c r="T32" s="1060"/>
      <c r="U32" s="1062"/>
      <c r="V32" s="1062"/>
      <c r="W32" s="1062"/>
      <c r="X32" s="1062"/>
      <c r="Y32" s="1062"/>
      <c r="Z32" s="1062"/>
      <c r="AA32" s="1062"/>
      <c r="AB32" s="1062"/>
      <c r="AC32" s="1062"/>
      <c r="AD32" s="1062"/>
      <c r="AF32" s="613"/>
      <c r="AG32" s="613"/>
      <c r="AH32" s="613"/>
      <c r="AI32" s="613"/>
      <c r="AJ32" s="613"/>
      <c r="AK32" s="613"/>
      <c r="AL32" s="613"/>
      <c r="AM32" s="613"/>
    </row>
    <row r="33" spans="1:43" ht="12.75" customHeight="1" x14ac:dyDescent="0.25">
      <c r="A33" s="615"/>
      <c r="B33" s="615"/>
      <c r="C33" s="616"/>
      <c r="D33" s="616"/>
      <c r="E33" s="631"/>
      <c r="F33" s="631"/>
      <c r="G33" s="631"/>
      <c r="H33" s="631"/>
      <c r="I33" s="631"/>
      <c r="J33" s="631"/>
      <c r="K33" s="631"/>
      <c r="L33" s="631"/>
      <c r="M33" s="631"/>
      <c r="N33" s="631"/>
      <c r="O33" s="631"/>
      <c r="P33" s="615"/>
      <c r="Q33" s="615"/>
      <c r="R33" s="615"/>
      <c r="S33" s="616"/>
      <c r="T33" s="616"/>
      <c r="U33" s="632"/>
      <c r="V33" s="632"/>
      <c r="W33" s="632"/>
      <c r="X33" s="632"/>
      <c r="Y33" s="632"/>
      <c r="Z33" s="632"/>
      <c r="AA33" s="632"/>
      <c r="AB33" s="632"/>
      <c r="AC33" s="632"/>
      <c r="AD33" s="632"/>
      <c r="AE33" s="618"/>
      <c r="AF33" s="613"/>
      <c r="AG33" s="613"/>
      <c r="AH33" s="613"/>
      <c r="AI33" s="613"/>
      <c r="AJ33" s="613"/>
      <c r="AK33" s="613"/>
      <c r="AL33" s="613"/>
      <c r="AM33" s="613"/>
    </row>
    <row r="34" spans="1:43" ht="24" customHeight="1" x14ac:dyDescent="0.25">
      <c r="A34" s="622" t="s">
        <v>659</v>
      </c>
      <c r="B34" s="623"/>
      <c r="C34" s="1059" t="s">
        <v>665</v>
      </c>
      <c r="D34" s="1059"/>
      <c r="E34" s="1059"/>
      <c r="F34" s="1059"/>
      <c r="G34" s="623"/>
      <c r="H34" s="1059" t="s">
        <v>574</v>
      </c>
      <c r="I34" s="1059"/>
      <c r="J34" s="1059"/>
      <c r="K34" s="623"/>
      <c r="L34" s="1059" t="s">
        <v>660</v>
      </c>
      <c r="M34" s="1059"/>
      <c r="N34" s="1059"/>
      <c r="O34" s="1059"/>
      <c r="P34" s="617"/>
      <c r="Q34" s="622" t="s">
        <v>659</v>
      </c>
      <c r="R34" s="623"/>
      <c r="S34" s="1059" t="s">
        <v>665</v>
      </c>
      <c r="T34" s="1059"/>
      <c r="U34" s="1059"/>
      <c r="V34" s="1059"/>
      <c r="W34" s="623"/>
      <c r="X34" s="1059" t="s">
        <v>574</v>
      </c>
      <c r="Y34" s="1059"/>
      <c r="Z34" s="1059"/>
      <c r="AA34" s="623"/>
      <c r="AB34" s="1059" t="s">
        <v>660</v>
      </c>
      <c r="AC34" s="1059"/>
      <c r="AD34" s="1059"/>
      <c r="AE34" s="1059"/>
      <c r="AF34" s="613"/>
      <c r="AG34" s="613"/>
      <c r="AH34" s="613"/>
      <c r="AI34" s="613"/>
      <c r="AJ34" s="613"/>
      <c r="AK34" s="613"/>
      <c r="AL34" s="613"/>
      <c r="AM34" s="613"/>
    </row>
    <row r="35" spans="1:43" x14ac:dyDescent="0.25">
      <c r="A35" s="624"/>
      <c r="B35" s="624"/>
      <c r="C35" s="624"/>
      <c r="D35" s="624"/>
      <c r="E35" s="624"/>
      <c r="F35" s="618"/>
      <c r="G35" s="624"/>
      <c r="H35" s="624"/>
      <c r="I35" s="624"/>
      <c r="J35" s="618"/>
      <c r="K35" s="624"/>
      <c r="L35" s="624"/>
      <c r="M35" s="624"/>
      <c r="N35" s="624"/>
      <c r="O35" s="618"/>
      <c r="P35" s="624"/>
      <c r="Q35" s="624"/>
      <c r="R35" s="624"/>
      <c r="S35" s="624"/>
      <c r="T35" s="624"/>
      <c r="U35" s="624"/>
      <c r="V35" s="618"/>
      <c r="W35" s="624"/>
      <c r="X35" s="624"/>
      <c r="Y35" s="624"/>
      <c r="Z35" s="618"/>
      <c r="AA35" s="624"/>
      <c r="AB35" s="624"/>
      <c r="AC35" s="624"/>
      <c r="AD35" s="624"/>
      <c r="AE35" s="618"/>
      <c r="AF35" s="613"/>
      <c r="AG35" s="613"/>
      <c r="AH35" s="613"/>
      <c r="AI35" s="613"/>
      <c r="AJ35" s="613"/>
      <c r="AK35" s="613"/>
      <c r="AL35" s="613"/>
      <c r="AM35" s="613"/>
    </row>
    <row r="36" spans="1:43" ht="18.600000000000001" customHeight="1" x14ac:dyDescent="0.25">
      <c r="A36" s="625">
        <f>A14</f>
        <v>45108</v>
      </c>
      <c r="B36" s="626"/>
      <c r="C36" s="1053">
        <f t="shared" ref="C36:C47" si="7">IF(AND(AP36&gt;0),(H36+$AP$5+AP36),0)</f>
        <v>0</v>
      </c>
      <c r="D36" s="1053"/>
      <c r="E36" s="1053"/>
      <c r="F36" s="1053"/>
      <c r="G36" s="626"/>
      <c r="H36" s="1056"/>
      <c r="I36" s="1057"/>
      <c r="J36" s="1058"/>
      <c r="K36" s="626"/>
      <c r="L36" s="1055">
        <f>C36-H36</f>
        <v>0</v>
      </c>
      <c r="M36" s="1055"/>
      <c r="N36" s="1055"/>
      <c r="O36" s="1055"/>
      <c r="P36" s="627"/>
      <c r="Q36" s="625">
        <f>A14</f>
        <v>45108</v>
      </c>
      <c r="R36" s="626"/>
      <c r="S36" s="1053">
        <f>IF(AND(AQ36&gt;0),(X36+$AP$5+AQ36),0)</f>
        <v>0</v>
      </c>
      <c r="T36" s="1053"/>
      <c r="U36" s="1053"/>
      <c r="V36" s="1053"/>
      <c r="W36" s="626"/>
      <c r="X36" s="1056"/>
      <c r="Y36" s="1057"/>
      <c r="Z36" s="1058"/>
      <c r="AA36" s="626"/>
      <c r="AB36" s="1055">
        <f>S36-X36</f>
        <v>0</v>
      </c>
      <c r="AC36" s="1055"/>
      <c r="AD36" s="1055"/>
      <c r="AE36" s="1055"/>
      <c r="AF36" s="613"/>
      <c r="AG36" s="613"/>
      <c r="AH36" s="613"/>
      <c r="AI36" s="613"/>
      <c r="AJ36" s="613"/>
      <c r="AK36" s="613"/>
      <c r="AL36" s="613"/>
      <c r="AM36" s="613"/>
      <c r="AP36" s="612">
        <f t="shared" ref="AP36:AP48" si="8">IF(AND(H36&gt;0,H36&lt;1950),(H36/10%)+500,0)+IF(AND(H36&gt;=1950,H36&lt;999999999999999),(H36/12%)+20000,0)</f>
        <v>0</v>
      </c>
      <c r="AQ36" s="612">
        <f>IF(AND(X36&gt;0,X36&lt;1950),(X36/10%)+500,0)+IF(AND(X36&gt;=1950,X36&lt;999999999999999),(X36/12%)+20000,0)</f>
        <v>0</v>
      </c>
    </row>
    <row r="37" spans="1:43" ht="18.600000000000001" customHeight="1" x14ac:dyDescent="0.25">
      <c r="A37" s="625">
        <f t="shared" ref="A37:A47" si="9">A15</f>
        <v>45139</v>
      </c>
      <c r="B37" s="626"/>
      <c r="C37" s="1053">
        <f t="shared" si="7"/>
        <v>0</v>
      </c>
      <c r="D37" s="1053"/>
      <c r="E37" s="1053"/>
      <c r="F37" s="1053"/>
      <c r="G37" s="626"/>
      <c r="H37" s="1054"/>
      <c r="I37" s="1054"/>
      <c r="J37" s="1054"/>
      <c r="K37" s="626"/>
      <c r="L37" s="1055">
        <f t="shared" ref="L37:L47" si="10">C37-H37</f>
        <v>0</v>
      </c>
      <c r="M37" s="1055"/>
      <c r="N37" s="1055"/>
      <c r="O37" s="1055"/>
      <c r="P37" s="627"/>
      <c r="Q37" s="625">
        <f t="shared" ref="Q37:Q47" si="11">A15</f>
        <v>45139</v>
      </c>
      <c r="R37" s="626"/>
      <c r="S37" s="1053">
        <f t="shared" ref="S37:S47" si="12">IF(AND(AQ37&gt;0),(X37+$AP$5+AQ37),0)</f>
        <v>0</v>
      </c>
      <c r="T37" s="1053"/>
      <c r="U37" s="1053"/>
      <c r="V37" s="1053"/>
      <c r="W37" s="626"/>
      <c r="X37" s="1054"/>
      <c r="Y37" s="1054"/>
      <c r="Z37" s="1054"/>
      <c r="AA37" s="626"/>
      <c r="AB37" s="1055">
        <f t="shared" ref="AB37:AB47" si="13">S37-X37</f>
        <v>0</v>
      </c>
      <c r="AC37" s="1055"/>
      <c r="AD37" s="1055"/>
      <c r="AE37" s="1055"/>
      <c r="AF37" s="613"/>
      <c r="AG37" s="613"/>
      <c r="AH37" s="613"/>
      <c r="AI37" s="613"/>
      <c r="AJ37" s="613"/>
      <c r="AK37" s="613"/>
      <c r="AL37" s="613"/>
      <c r="AM37" s="613"/>
      <c r="AP37" s="612">
        <f t="shared" si="8"/>
        <v>0</v>
      </c>
      <c r="AQ37" s="612">
        <f t="shared" ref="AQ37:AQ48" si="14">IF(AND(X37&gt;0,X37&lt;1950),(X37/10%)+500,0)+IF(AND(X37&gt;=1950,X37&lt;999999999999999),(X37/12%)+20000,0)</f>
        <v>0</v>
      </c>
    </row>
    <row r="38" spans="1:43" ht="18.600000000000001" customHeight="1" x14ac:dyDescent="0.25">
      <c r="A38" s="625">
        <f t="shared" si="9"/>
        <v>45170</v>
      </c>
      <c r="B38" s="626"/>
      <c r="C38" s="1053">
        <f t="shared" si="7"/>
        <v>0</v>
      </c>
      <c r="D38" s="1053"/>
      <c r="E38" s="1053"/>
      <c r="F38" s="1053"/>
      <c r="G38" s="626"/>
      <c r="H38" s="1054"/>
      <c r="I38" s="1054"/>
      <c r="J38" s="1054"/>
      <c r="K38" s="626"/>
      <c r="L38" s="1055">
        <f t="shared" si="10"/>
        <v>0</v>
      </c>
      <c r="M38" s="1055"/>
      <c r="N38" s="1055"/>
      <c r="O38" s="1055"/>
      <c r="P38" s="627"/>
      <c r="Q38" s="625">
        <f t="shared" si="11"/>
        <v>45170</v>
      </c>
      <c r="R38" s="626"/>
      <c r="S38" s="1053">
        <f t="shared" si="12"/>
        <v>0</v>
      </c>
      <c r="T38" s="1053"/>
      <c r="U38" s="1053"/>
      <c r="V38" s="1053"/>
      <c r="W38" s="626"/>
      <c r="X38" s="1054"/>
      <c r="Y38" s="1054"/>
      <c r="Z38" s="1054"/>
      <c r="AA38" s="626"/>
      <c r="AB38" s="1055">
        <f t="shared" si="13"/>
        <v>0</v>
      </c>
      <c r="AC38" s="1055"/>
      <c r="AD38" s="1055"/>
      <c r="AE38" s="1055"/>
      <c r="AF38" s="613"/>
      <c r="AG38" s="613"/>
      <c r="AH38" s="613"/>
      <c r="AI38" s="613"/>
      <c r="AJ38" s="613"/>
      <c r="AK38" s="613"/>
      <c r="AL38" s="613"/>
      <c r="AM38" s="613"/>
      <c r="AP38" s="612">
        <f t="shared" si="8"/>
        <v>0</v>
      </c>
      <c r="AQ38" s="612">
        <f t="shared" si="14"/>
        <v>0</v>
      </c>
    </row>
    <row r="39" spans="1:43" ht="18.600000000000001" customHeight="1" x14ac:dyDescent="0.25">
      <c r="A39" s="625">
        <f t="shared" si="9"/>
        <v>45200</v>
      </c>
      <c r="B39" s="626"/>
      <c r="C39" s="1053">
        <f t="shared" si="7"/>
        <v>0</v>
      </c>
      <c r="D39" s="1053"/>
      <c r="E39" s="1053"/>
      <c r="F39" s="1053"/>
      <c r="G39" s="626"/>
      <c r="H39" s="1054"/>
      <c r="I39" s="1054"/>
      <c r="J39" s="1054"/>
      <c r="K39" s="626"/>
      <c r="L39" s="1055">
        <f t="shared" si="10"/>
        <v>0</v>
      </c>
      <c r="M39" s="1055"/>
      <c r="N39" s="1055"/>
      <c r="O39" s="1055"/>
      <c r="P39" s="627"/>
      <c r="Q39" s="625">
        <f t="shared" si="11"/>
        <v>45200</v>
      </c>
      <c r="R39" s="626"/>
      <c r="S39" s="1053">
        <f t="shared" si="12"/>
        <v>0</v>
      </c>
      <c r="T39" s="1053"/>
      <c r="U39" s="1053"/>
      <c r="V39" s="1053"/>
      <c r="W39" s="626"/>
      <c r="X39" s="1054"/>
      <c r="Y39" s="1054"/>
      <c r="Z39" s="1054"/>
      <c r="AA39" s="626"/>
      <c r="AB39" s="1055">
        <f t="shared" si="13"/>
        <v>0</v>
      </c>
      <c r="AC39" s="1055"/>
      <c r="AD39" s="1055"/>
      <c r="AE39" s="1055"/>
      <c r="AF39" s="613"/>
      <c r="AG39" s="613"/>
      <c r="AH39" s="613"/>
      <c r="AI39" s="613"/>
      <c r="AJ39" s="613"/>
      <c r="AK39" s="613"/>
      <c r="AL39" s="613"/>
      <c r="AM39" s="613"/>
      <c r="AP39" s="612">
        <f t="shared" si="8"/>
        <v>0</v>
      </c>
      <c r="AQ39" s="612">
        <f t="shared" si="14"/>
        <v>0</v>
      </c>
    </row>
    <row r="40" spans="1:43" ht="18.600000000000001" customHeight="1" x14ac:dyDescent="0.25">
      <c r="A40" s="625">
        <f t="shared" si="9"/>
        <v>45231</v>
      </c>
      <c r="B40" s="626"/>
      <c r="C40" s="1053">
        <f t="shared" si="7"/>
        <v>0</v>
      </c>
      <c r="D40" s="1053"/>
      <c r="E40" s="1053"/>
      <c r="F40" s="1053"/>
      <c r="G40" s="626"/>
      <c r="H40" s="1054"/>
      <c r="I40" s="1054"/>
      <c r="J40" s="1054"/>
      <c r="K40" s="626"/>
      <c r="L40" s="1055">
        <f t="shared" si="10"/>
        <v>0</v>
      </c>
      <c r="M40" s="1055"/>
      <c r="N40" s="1055"/>
      <c r="O40" s="1055"/>
      <c r="P40" s="627"/>
      <c r="Q40" s="625">
        <f t="shared" si="11"/>
        <v>45231</v>
      </c>
      <c r="R40" s="626"/>
      <c r="S40" s="1053">
        <f t="shared" si="12"/>
        <v>0</v>
      </c>
      <c r="T40" s="1053"/>
      <c r="U40" s="1053"/>
      <c r="V40" s="1053"/>
      <c r="W40" s="626"/>
      <c r="X40" s="1054"/>
      <c r="Y40" s="1054"/>
      <c r="Z40" s="1054"/>
      <c r="AA40" s="626"/>
      <c r="AB40" s="1055">
        <f t="shared" si="13"/>
        <v>0</v>
      </c>
      <c r="AC40" s="1055"/>
      <c r="AD40" s="1055"/>
      <c r="AE40" s="1055"/>
      <c r="AF40" s="613"/>
      <c r="AG40" s="613"/>
      <c r="AH40" s="613"/>
      <c r="AI40" s="613"/>
      <c r="AJ40" s="613"/>
      <c r="AK40" s="613"/>
      <c r="AL40" s="613"/>
      <c r="AM40" s="613"/>
      <c r="AP40" s="612">
        <f t="shared" si="8"/>
        <v>0</v>
      </c>
      <c r="AQ40" s="612">
        <f t="shared" si="14"/>
        <v>0</v>
      </c>
    </row>
    <row r="41" spans="1:43" ht="18.600000000000001" customHeight="1" x14ac:dyDescent="0.25">
      <c r="A41" s="625">
        <f t="shared" si="9"/>
        <v>45261</v>
      </c>
      <c r="B41" s="626"/>
      <c r="C41" s="1053">
        <f t="shared" si="7"/>
        <v>0</v>
      </c>
      <c r="D41" s="1053"/>
      <c r="E41" s="1053"/>
      <c r="F41" s="1053"/>
      <c r="G41" s="626"/>
      <c r="H41" s="1054"/>
      <c r="I41" s="1054"/>
      <c r="J41" s="1054"/>
      <c r="K41" s="626"/>
      <c r="L41" s="1055">
        <f t="shared" si="10"/>
        <v>0</v>
      </c>
      <c r="M41" s="1055"/>
      <c r="N41" s="1055"/>
      <c r="O41" s="1055"/>
      <c r="P41" s="627"/>
      <c r="Q41" s="625">
        <f t="shared" si="11"/>
        <v>45261</v>
      </c>
      <c r="R41" s="626"/>
      <c r="S41" s="1053">
        <f t="shared" si="12"/>
        <v>0</v>
      </c>
      <c r="T41" s="1053"/>
      <c r="U41" s="1053"/>
      <c r="V41" s="1053"/>
      <c r="W41" s="626"/>
      <c r="X41" s="1054"/>
      <c r="Y41" s="1054"/>
      <c r="Z41" s="1054"/>
      <c r="AA41" s="626"/>
      <c r="AB41" s="1055">
        <f t="shared" si="13"/>
        <v>0</v>
      </c>
      <c r="AC41" s="1055"/>
      <c r="AD41" s="1055"/>
      <c r="AE41" s="1055"/>
      <c r="AF41" s="613"/>
      <c r="AG41" s="613"/>
      <c r="AH41" s="613"/>
      <c r="AI41" s="613"/>
      <c r="AJ41" s="613"/>
      <c r="AK41" s="613"/>
      <c r="AL41" s="613"/>
      <c r="AM41" s="613"/>
      <c r="AP41" s="612">
        <f t="shared" si="8"/>
        <v>0</v>
      </c>
      <c r="AQ41" s="612">
        <f t="shared" si="14"/>
        <v>0</v>
      </c>
    </row>
    <row r="42" spans="1:43" ht="18.600000000000001" customHeight="1" x14ac:dyDescent="0.25">
      <c r="A42" s="625">
        <f t="shared" si="9"/>
        <v>45292</v>
      </c>
      <c r="B42" s="626"/>
      <c r="C42" s="1053">
        <f t="shared" si="7"/>
        <v>0</v>
      </c>
      <c r="D42" s="1053"/>
      <c r="E42" s="1053"/>
      <c r="F42" s="1053"/>
      <c r="G42" s="626"/>
      <c r="H42" s="1054"/>
      <c r="I42" s="1054"/>
      <c r="J42" s="1054"/>
      <c r="K42" s="626"/>
      <c r="L42" s="1055">
        <f t="shared" si="10"/>
        <v>0</v>
      </c>
      <c r="M42" s="1055"/>
      <c r="N42" s="1055"/>
      <c r="O42" s="1055"/>
      <c r="P42" s="627"/>
      <c r="Q42" s="625">
        <f t="shared" si="11"/>
        <v>45292</v>
      </c>
      <c r="R42" s="626"/>
      <c r="S42" s="1053">
        <f t="shared" si="12"/>
        <v>0</v>
      </c>
      <c r="T42" s="1053"/>
      <c r="U42" s="1053"/>
      <c r="V42" s="1053"/>
      <c r="W42" s="626"/>
      <c r="X42" s="1054"/>
      <c r="Y42" s="1054"/>
      <c r="Z42" s="1054"/>
      <c r="AA42" s="626"/>
      <c r="AB42" s="1055">
        <f t="shared" si="13"/>
        <v>0</v>
      </c>
      <c r="AC42" s="1055"/>
      <c r="AD42" s="1055"/>
      <c r="AE42" s="1055"/>
      <c r="AF42" s="613"/>
      <c r="AG42" s="613"/>
      <c r="AH42" s="613"/>
      <c r="AI42" s="613"/>
      <c r="AJ42" s="613"/>
      <c r="AK42" s="613"/>
      <c r="AL42" s="613"/>
      <c r="AM42" s="613"/>
      <c r="AP42" s="612">
        <f t="shared" si="8"/>
        <v>0</v>
      </c>
      <c r="AQ42" s="612">
        <f t="shared" si="14"/>
        <v>0</v>
      </c>
    </row>
    <row r="43" spans="1:43" ht="18.600000000000001" customHeight="1" x14ac:dyDescent="0.25">
      <c r="A43" s="625">
        <f t="shared" si="9"/>
        <v>45323</v>
      </c>
      <c r="B43" s="626"/>
      <c r="C43" s="1053">
        <f t="shared" si="7"/>
        <v>0</v>
      </c>
      <c r="D43" s="1053"/>
      <c r="E43" s="1053"/>
      <c r="F43" s="1053"/>
      <c r="G43" s="626"/>
      <c r="H43" s="1054"/>
      <c r="I43" s="1054"/>
      <c r="J43" s="1054"/>
      <c r="K43" s="626"/>
      <c r="L43" s="1055">
        <f t="shared" si="10"/>
        <v>0</v>
      </c>
      <c r="M43" s="1055"/>
      <c r="N43" s="1055"/>
      <c r="O43" s="1055"/>
      <c r="P43" s="627"/>
      <c r="Q43" s="625">
        <f t="shared" si="11"/>
        <v>45323</v>
      </c>
      <c r="R43" s="626"/>
      <c r="S43" s="1053">
        <f t="shared" si="12"/>
        <v>0</v>
      </c>
      <c r="T43" s="1053"/>
      <c r="U43" s="1053"/>
      <c r="V43" s="1053"/>
      <c r="W43" s="626"/>
      <c r="X43" s="1054"/>
      <c r="Y43" s="1054"/>
      <c r="Z43" s="1054"/>
      <c r="AA43" s="626"/>
      <c r="AB43" s="1055">
        <f t="shared" si="13"/>
        <v>0</v>
      </c>
      <c r="AC43" s="1055"/>
      <c r="AD43" s="1055"/>
      <c r="AE43" s="1055"/>
      <c r="AF43" s="613"/>
      <c r="AG43" s="613"/>
      <c r="AH43" s="613"/>
      <c r="AI43" s="613"/>
      <c r="AJ43" s="613"/>
      <c r="AK43" s="613"/>
      <c r="AL43" s="613"/>
      <c r="AM43" s="613"/>
      <c r="AP43" s="612">
        <f t="shared" si="8"/>
        <v>0</v>
      </c>
      <c r="AQ43" s="612">
        <f t="shared" si="14"/>
        <v>0</v>
      </c>
    </row>
    <row r="44" spans="1:43" ht="18.600000000000001" customHeight="1" x14ac:dyDescent="0.25">
      <c r="A44" s="625">
        <f t="shared" si="9"/>
        <v>45352</v>
      </c>
      <c r="B44" s="626"/>
      <c r="C44" s="1053">
        <f t="shared" si="7"/>
        <v>0</v>
      </c>
      <c r="D44" s="1053"/>
      <c r="E44" s="1053"/>
      <c r="F44" s="1053"/>
      <c r="G44" s="626"/>
      <c r="H44" s="1054"/>
      <c r="I44" s="1054"/>
      <c r="J44" s="1054"/>
      <c r="K44" s="626"/>
      <c r="L44" s="1055">
        <f t="shared" si="10"/>
        <v>0</v>
      </c>
      <c r="M44" s="1055"/>
      <c r="N44" s="1055"/>
      <c r="O44" s="1055"/>
      <c r="P44" s="627"/>
      <c r="Q44" s="625">
        <f t="shared" si="11"/>
        <v>45352</v>
      </c>
      <c r="R44" s="626"/>
      <c r="S44" s="1053">
        <f t="shared" si="12"/>
        <v>0</v>
      </c>
      <c r="T44" s="1053"/>
      <c r="U44" s="1053"/>
      <c r="V44" s="1053"/>
      <c r="W44" s="626"/>
      <c r="X44" s="1054"/>
      <c r="Y44" s="1054"/>
      <c r="Z44" s="1054"/>
      <c r="AA44" s="626"/>
      <c r="AB44" s="1055">
        <f t="shared" si="13"/>
        <v>0</v>
      </c>
      <c r="AC44" s="1055"/>
      <c r="AD44" s="1055"/>
      <c r="AE44" s="1055"/>
      <c r="AF44" s="613"/>
      <c r="AG44" s="613"/>
      <c r="AH44" s="613"/>
      <c r="AI44" s="613"/>
      <c r="AJ44" s="613"/>
      <c r="AK44" s="613"/>
      <c r="AL44" s="613"/>
      <c r="AM44" s="613"/>
      <c r="AP44" s="612">
        <f t="shared" si="8"/>
        <v>0</v>
      </c>
      <c r="AQ44" s="612">
        <f t="shared" si="14"/>
        <v>0</v>
      </c>
    </row>
    <row r="45" spans="1:43" ht="18.600000000000001" customHeight="1" x14ac:dyDescent="0.25">
      <c r="A45" s="625">
        <f t="shared" si="9"/>
        <v>45383</v>
      </c>
      <c r="B45" s="626"/>
      <c r="C45" s="1053">
        <f t="shared" si="7"/>
        <v>0</v>
      </c>
      <c r="D45" s="1053"/>
      <c r="E45" s="1053"/>
      <c r="F45" s="1053"/>
      <c r="G45" s="626"/>
      <c r="H45" s="1054"/>
      <c r="I45" s="1054"/>
      <c r="J45" s="1054"/>
      <c r="K45" s="626"/>
      <c r="L45" s="1055">
        <f t="shared" si="10"/>
        <v>0</v>
      </c>
      <c r="M45" s="1055"/>
      <c r="N45" s="1055"/>
      <c r="O45" s="1055"/>
      <c r="P45" s="627"/>
      <c r="Q45" s="625">
        <f t="shared" si="11"/>
        <v>45383</v>
      </c>
      <c r="R45" s="626"/>
      <c r="S45" s="1053">
        <f t="shared" si="12"/>
        <v>0</v>
      </c>
      <c r="T45" s="1053"/>
      <c r="U45" s="1053"/>
      <c r="V45" s="1053"/>
      <c r="W45" s="626"/>
      <c r="X45" s="1054"/>
      <c r="Y45" s="1054"/>
      <c r="Z45" s="1054"/>
      <c r="AA45" s="626"/>
      <c r="AB45" s="1055">
        <f t="shared" si="13"/>
        <v>0</v>
      </c>
      <c r="AC45" s="1055"/>
      <c r="AD45" s="1055"/>
      <c r="AE45" s="1055"/>
      <c r="AF45" s="613"/>
      <c r="AG45" s="613"/>
      <c r="AH45" s="613"/>
      <c r="AI45" s="613"/>
      <c r="AJ45" s="613"/>
      <c r="AK45" s="613"/>
      <c r="AL45" s="613"/>
      <c r="AM45" s="613"/>
      <c r="AP45" s="612">
        <f t="shared" si="8"/>
        <v>0</v>
      </c>
      <c r="AQ45" s="612">
        <f t="shared" si="14"/>
        <v>0</v>
      </c>
    </row>
    <row r="46" spans="1:43" ht="18.600000000000001" customHeight="1" x14ac:dyDescent="0.25">
      <c r="A46" s="625">
        <f t="shared" si="9"/>
        <v>45413</v>
      </c>
      <c r="B46" s="626"/>
      <c r="C46" s="1053">
        <f t="shared" si="7"/>
        <v>0</v>
      </c>
      <c r="D46" s="1053"/>
      <c r="E46" s="1053"/>
      <c r="F46" s="1053"/>
      <c r="G46" s="626"/>
      <c r="H46" s="1054"/>
      <c r="I46" s="1054"/>
      <c r="J46" s="1054"/>
      <c r="K46" s="626"/>
      <c r="L46" s="1055">
        <f t="shared" si="10"/>
        <v>0</v>
      </c>
      <c r="M46" s="1055"/>
      <c r="N46" s="1055"/>
      <c r="O46" s="1055"/>
      <c r="P46" s="627"/>
      <c r="Q46" s="625">
        <f t="shared" si="11"/>
        <v>45413</v>
      </c>
      <c r="R46" s="626"/>
      <c r="S46" s="1053">
        <f t="shared" si="12"/>
        <v>0</v>
      </c>
      <c r="T46" s="1053"/>
      <c r="U46" s="1053"/>
      <c r="V46" s="1053"/>
      <c r="W46" s="626"/>
      <c r="X46" s="1054"/>
      <c r="Y46" s="1054"/>
      <c r="Z46" s="1054"/>
      <c r="AA46" s="626"/>
      <c r="AB46" s="1055">
        <f t="shared" si="13"/>
        <v>0</v>
      </c>
      <c r="AC46" s="1055"/>
      <c r="AD46" s="1055"/>
      <c r="AE46" s="1055"/>
      <c r="AF46" s="613"/>
      <c r="AG46" s="613"/>
      <c r="AH46" s="613"/>
      <c r="AI46" s="613"/>
      <c r="AJ46" s="613"/>
      <c r="AK46" s="613"/>
      <c r="AL46" s="613"/>
      <c r="AM46" s="613"/>
      <c r="AP46" s="612">
        <f t="shared" si="8"/>
        <v>0</v>
      </c>
      <c r="AQ46" s="612">
        <f t="shared" si="14"/>
        <v>0</v>
      </c>
    </row>
    <row r="47" spans="1:43" ht="18.600000000000001" customHeight="1" x14ac:dyDescent="0.25">
      <c r="A47" s="625">
        <f t="shared" si="9"/>
        <v>45444</v>
      </c>
      <c r="B47" s="626"/>
      <c r="C47" s="1053">
        <f t="shared" si="7"/>
        <v>0</v>
      </c>
      <c r="D47" s="1053"/>
      <c r="E47" s="1053"/>
      <c r="F47" s="1053"/>
      <c r="G47" s="626"/>
      <c r="H47" s="1054"/>
      <c r="I47" s="1054"/>
      <c r="J47" s="1054"/>
      <c r="K47" s="626"/>
      <c r="L47" s="1055">
        <f t="shared" si="10"/>
        <v>0</v>
      </c>
      <c r="M47" s="1055"/>
      <c r="N47" s="1055"/>
      <c r="O47" s="1055"/>
      <c r="P47" s="627"/>
      <c r="Q47" s="625">
        <f t="shared" si="11"/>
        <v>45444</v>
      </c>
      <c r="R47" s="626"/>
      <c r="S47" s="1053">
        <f t="shared" si="12"/>
        <v>0</v>
      </c>
      <c r="T47" s="1053"/>
      <c r="U47" s="1053"/>
      <c r="V47" s="1053"/>
      <c r="W47" s="626"/>
      <c r="X47" s="1054"/>
      <c r="Y47" s="1054"/>
      <c r="Z47" s="1054"/>
      <c r="AA47" s="626"/>
      <c r="AB47" s="1055">
        <f t="shared" si="13"/>
        <v>0</v>
      </c>
      <c r="AC47" s="1055"/>
      <c r="AD47" s="1055"/>
      <c r="AE47" s="1055"/>
      <c r="AF47" s="613"/>
      <c r="AG47" s="613"/>
      <c r="AH47" s="613"/>
      <c r="AI47" s="613"/>
      <c r="AJ47" s="613"/>
      <c r="AK47" s="613"/>
      <c r="AL47" s="613"/>
      <c r="AM47" s="613"/>
      <c r="AP47" s="612">
        <f t="shared" si="8"/>
        <v>0</v>
      </c>
      <c r="AQ47" s="612">
        <f t="shared" si="14"/>
        <v>0</v>
      </c>
    </row>
    <row r="48" spans="1:43" x14ac:dyDescent="0.25">
      <c r="A48" s="618"/>
      <c r="B48" s="626"/>
      <c r="C48" s="626"/>
      <c r="D48" s="626"/>
      <c r="E48" s="626"/>
      <c r="F48" s="626"/>
      <c r="G48" s="626"/>
      <c r="H48" s="626"/>
      <c r="I48" s="626"/>
      <c r="J48" s="626"/>
      <c r="K48" s="626"/>
      <c r="L48" s="626"/>
      <c r="M48" s="626"/>
      <c r="N48" s="626"/>
      <c r="O48" s="618"/>
      <c r="P48" s="618"/>
      <c r="Q48" s="618"/>
      <c r="R48" s="626"/>
      <c r="S48" s="626"/>
      <c r="T48" s="626"/>
      <c r="U48" s="626"/>
      <c r="V48" s="626"/>
      <c r="W48" s="626"/>
      <c r="X48" s="626"/>
      <c r="Y48" s="626"/>
      <c r="Z48" s="626"/>
      <c r="AA48" s="626"/>
      <c r="AB48" s="626"/>
      <c r="AC48" s="626"/>
      <c r="AD48" s="626"/>
      <c r="AE48" s="618"/>
      <c r="AF48" s="613"/>
      <c r="AG48" s="613"/>
      <c r="AH48" s="613"/>
      <c r="AI48" s="613"/>
      <c r="AJ48" s="613"/>
      <c r="AK48" s="613"/>
      <c r="AL48" s="613"/>
      <c r="AM48" s="613"/>
      <c r="AP48" s="612">
        <f t="shared" si="8"/>
        <v>0</v>
      </c>
      <c r="AQ48" s="612">
        <f t="shared" si="14"/>
        <v>0</v>
      </c>
    </row>
    <row r="49" spans="1:39" ht="17.25" customHeight="1" thickBot="1" x14ac:dyDescent="0.3">
      <c r="A49" s="627"/>
      <c r="B49" s="626"/>
      <c r="C49" s="1051">
        <f>SUM(C36:F47)</f>
        <v>0</v>
      </c>
      <c r="D49" s="1051"/>
      <c r="E49" s="1051"/>
      <c r="F49" s="1051"/>
      <c r="G49" s="626"/>
      <c r="H49" s="1051">
        <f>SUM(H36:J48)</f>
        <v>0</v>
      </c>
      <c r="I49" s="1051"/>
      <c r="J49" s="1051"/>
      <c r="K49" s="626"/>
      <c r="L49" s="1052">
        <f>C49-H49</f>
        <v>0</v>
      </c>
      <c r="M49" s="1052"/>
      <c r="N49" s="1052"/>
      <c r="O49" s="1052"/>
      <c r="P49" s="618"/>
      <c r="Q49" s="627"/>
      <c r="R49" s="626"/>
      <c r="S49" s="1051">
        <f>SUM(S36:V47)</f>
        <v>0</v>
      </c>
      <c r="T49" s="1051"/>
      <c r="U49" s="1051"/>
      <c r="V49" s="1051"/>
      <c r="W49" s="626"/>
      <c r="X49" s="1051">
        <f>SUM(X36:Z48)</f>
        <v>0</v>
      </c>
      <c r="Y49" s="1051"/>
      <c r="Z49" s="1051"/>
      <c r="AA49" s="626"/>
      <c r="AB49" s="1052">
        <f>S49-X49</f>
        <v>0</v>
      </c>
      <c r="AC49" s="1052"/>
      <c r="AD49" s="1052"/>
      <c r="AE49" s="1052"/>
      <c r="AF49" s="613"/>
      <c r="AG49" s="613"/>
      <c r="AH49" s="613"/>
      <c r="AI49" s="613"/>
      <c r="AJ49" s="613"/>
      <c r="AK49" s="613"/>
      <c r="AL49" s="613"/>
      <c r="AM49" s="613"/>
    </row>
    <row r="50" spans="1:39" ht="13.8" thickTop="1" x14ac:dyDescent="0.25">
      <c r="A50" s="627"/>
      <c r="B50" s="626"/>
      <c r="C50" s="629"/>
      <c r="D50" s="629"/>
      <c r="E50" s="629"/>
      <c r="F50" s="629"/>
      <c r="G50" s="626"/>
      <c r="H50" s="629"/>
      <c r="I50" s="629"/>
      <c r="J50" s="629"/>
      <c r="K50" s="626"/>
      <c r="L50" s="629"/>
      <c r="M50" s="629"/>
      <c r="N50" s="629"/>
      <c r="O50" s="629"/>
      <c r="P50" s="618"/>
      <c r="Q50" s="627"/>
      <c r="R50" s="626"/>
      <c r="S50" s="629"/>
      <c r="T50" s="629"/>
      <c r="U50" s="629"/>
      <c r="V50" s="629"/>
      <c r="W50" s="626"/>
      <c r="X50" s="629"/>
      <c r="Y50" s="629"/>
      <c r="Z50" s="629"/>
      <c r="AA50" s="626"/>
      <c r="AB50" s="629"/>
      <c r="AC50" s="629"/>
      <c r="AD50" s="629"/>
      <c r="AE50" s="629"/>
      <c r="AF50" s="613"/>
      <c r="AG50" s="613"/>
      <c r="AH50" s="613"/>
      <c r="AI50" s="613"/>
      <c r="AJ50" s="613"/>
      <c r="AK50" s="613"/>
      <c r="AL50" s="613"/>
      <c r="AM50" s="613"/>
    </row>
  </sheetData>
  <mergeCells count="189">
    <mergeCell ref="A2:AE2"/>
    <mergeCell ref="A3:AE3"/>
    <mergeCell ref="A4:AE4"/>
    <mergeCell ref="A5:AE5"/>
    <mergeCell ref="A8:D8"/>
    <mergeCell ref="E8:O8"/>
    <mergeCell ref="Q8:T8"/>
    <mergeCell ref="U8:AD8"/>
    <mergeCell ref="AJ5:AN5"/>
    <mergeCell ref="A10:D10"/>
    <mergeCell ref="E10:O10"/>
    <mergeCell ref="Q10:T10"/>
    <mergeCell ref="U10:AD10"/>
    <mergeCell ref="C12:F12"/>
    <mergeCell ref="H12:J12"/>
    <mergeCell ref="L12:O12"/>
    <mergeCell ref="S12:V12"/>
    <mergeCell ref="X12:Z12"/>
    <mergeCell ref="C15:F15"/>
    <mergeCell ref="H15:J15"/>
    <mergeCell ref="L15:O15"/>
    <mergeCell ref="S15:V15"/>
    <mergeCell ref="X15:Z15"/>
    <mergeCell ref="AB15:AE15"/>
    <mergeCell ref="AB12:AE12"/>
    <mergeCell ref="C14:F14"/>
    <mergeCell ref="H14:J14"/>
    <mergeCell ref="L14:O14"/>
    <mergeCell ref="S14:V14"/>
    <mergeCell ref="X14:Z14"/>
    <mergeCell ref="AB14:AE14"/>
    <mergeCell ref="C17:F17"/>
    <mergeCell ref="H17:J17"/>
    <mergeCell ref="L17:O17"/>
    <mergeCell ref="S17:V17"/>
    <mergeCell ref="X17:Z17"/>
    <mergeCell ref="AB17:AE17"/>
    <mergeCell ref="C16:F16"/>
    <mergeCell ref="H16:J16"/>
    <mergeCell ref="L16:O16"/>
    <mergeCell ref="S16:V16"/>
    <mergeCell ref="X16:Z16"/>
    <mergeCell ref="AB16:AE16"/>
    <mergeCell ref="C19:F19"/>
    <mergeCell ref="H19:J19"/>
    <mergeCell ref="L19:O19"/>
    <mergeCell ref="S19:V19"/>
    <mergeCell ref="X19:Z19"/>
    <mergeCell ref="AB19:AE19"/>
    <mergeCell ref="C18:F18"/>
    <mergeCell ref="H18:J18"/>
    <mergeCell ref="L18:O18"/>
    <mergeCell ref="S18:V18"/>
    <mergeCell ref="X18:Z18"/>
    <mergeCell ref="AB18:AE18"/>
    <mergeCell ref="C21:F21"/>
    <mergeCell ref="H21:J21"/>
    <mergeCell ref="L21:O21"/>
    <mergeCell ref="S21:V21"/>
    <mergeCell ref="X21:Z21"/>
    <mergeCell ref="AB21:AE21"/>
    <mergeCell ref="C20:F20"/>
    <mergeCell ref="H20:J20"/>
    <mergeCell ref="L20:O20"/>
    <mergeCell ref="S20:V20"/>
    <mergeCell ref="X20:Z20"/>
    <mergeCell ref="AB20:AE20"/>
    <mergeCell ref="C23:F23"/>
    <mergeCell ref="H23:J23"/>
    <mergeCell ref="L23:O23"/>
    <mergeCell ref="S23:V23"/>
    <mergeCell ref="X23:Z23"/>
    <mergeCell ref="AB23:AE23"/>
    <mergeCell ref="C22:F22"/>
    <mergeCell ref="H22:J22"/>
    <mergeCell ref="L22:O22"/>
    <mergeCell ref="S22:V22"/>
    <mergeCell ref="X22:Z22"/>
    <mergeCell ref="AB22:AE22"/>
    <mergeCell ref="C25:F25"/>
    <mergeCell ref="H25:J25"/>
    <mergeCell ref="L25:O25"/>
    <mergeCell ref="S25:V25"/>
    <mergeCell ref="X25:Z25"/>
    <mergeCell ref="AB25:AE25"/>
    <mergeCell ref="C24:F24"/>
    <mergeCell ref="H24:J24"/>
    <mergeCell ref="L24:O24"/>
    <mergeCell ref="S24:V24"/>
    <mergeCell ref="X24:Z24"/>
    <mergeCell ref="AB24:AE24"/>
    <mergeCell ref="A30:D30"/>
    <mergeCell ref="E30:O30"/>
    <mergeCell ref="Q30:T30"/>
    <mergeCell ref="U30:AD30"/>
    <mergeCell ref="A32:D32"/>
    <mergeCell ref="E32:O32"/>
    <mergeCell ref="Q32:T32"/>
    <mergeCell ref="U32:AD32"/>
    <mergeCell ref="C27:F27"/>
    <mergeCell ref="H27:J27"/>
    <mergeCell ref="L27:O27"/>
    <mergeCell ref="S27:V27"/>
    <mergeCell ref="X27:Z27"/>
    <mergeCell ref="AB27:AE27"/>
    <mergeCell ref="C36:F36"/>
    <mergeCell ref="H36:J36"/>
    <mergeCell ref="L36:O36"/>
    <mergeCell ref="S36:V36"/>
    <mergeCell ref="X36:Z36"/>
    <mergeCell ref="AB36:AE36"/>
    <mergeCell ref="C34:F34"/>
    <mergeCell ref="H34:J34"/>
    <mergeCell ref="L34:O34"/>
    <mergeCell ref="S34:V34"/>
    <mergeCell ref="X34:Z34"/>
    <mergeCell ref="AB34:AE34"/>
    <mergeCell ref="C38:F38"/>
    <mergeCell ref="H38:J38"/>
    <mergeCell ref="L38:O38"/>
    <mergeCell ref="S38:V38"/>
    <mergeCell ref="X38:Z38"/>
    <mergeCell ref="AB38:AE38"/>
    <mergeCell ref="C37:F37"/>
    <mergeCell ref="H37:J37"/>
    <mergeCell ref="L37:O37"/>
    <mergeCell ref="S37:V37"/>
    <mergeCell ref="X37:Z37"/>
    <mergeCell ref="AB37:AE37"/>
    <mergeCell ref="C40:F40"/>
    <mergeCell ref="H40:J40"/>
    <mergeCell ref="L40:O40"/>
    <mergeCell ref="S40:V40"/>
    <mergeCell ref="X40:Z40"/>
    <mergeCell ref="AB40:AE40"/>
    <mergeCell ref="C39:F39"/>
    <mergeCell ref="H39:J39"/>
    <mergeCell ref="L39:O39"/>
    <mergeCell ref="S39:V39"/>
    <mergeCell ref="X39:Z39"/>
    <mergeCell ref="AB39:AE39"/>
    <mergeCell ref="C42:F42"/>
    <mergeCell ref="H42:J42"/>
    <mergeCell ref="L42:O42"/>
    <mergeCell ref="S42:V42"/>
    <mergeCell ref="X42:Z42"/>
    <mergeCell ref="AB42:AE42"/>
    <mergeCell ref="C41:F41"/>
    <mergeCell ref="H41:J41"/>
    <mergeCell ref="L41:O41"/>
    <mergeCell ref="S41:V41"/>
    <mergeCell ref="X41:Z41"/>
    <mergeCell ref="AB41:AE41"/>
    <mergeCell ref="C44:F44"/>
    <mergeCell ref="H44:J44"/>
    <mergeCell ref="L44:O44"/>
    <mergeCell ref="S44:V44"/>
    <mergeCell ref="X44:Z44"/>
    <mergeCell ref="AB44:AE44"/>
    <mergeCell ref="C43:F43"/>
    <mergeCell ref="H43:J43"/>
    <mergeCell ref="L43:O43"/>
    <mergeCell ref="S43:V43"/>
    <mergeCell ref="X43:Z43"/>
    <mergeCell ref="AB43:AE43"/>
    <mergeCell ref="C46:F46"/>
    <mergeCell ref="H46:J46"/>
    <mergeCell ref="L46:O46"/>
    <mergeCell ref="S46:V46"/>
    <mergeCell ref="X46:Z46"/>
    <mergeCell ref="AB46:AE46"/>
    <mergeCell ref="C45:F45"/>
    <mergeCell ref="H45:J45"/>
    <mergeCell ref="L45:O45"/>
    <mergeCell ref="S45:V45"/>
    <mergeCell ref="X45:Z45"/>
    <mergeCell ref="AB45:AE45"/>
    <mergeCell ref="C49:F49"/>
    <mergeCell ref="H49:J49"/>
    <mergeCell ref="L49:O49"/>
    <mergeCell ref="S49:V49"/>
    <mergeCell ref="X49:Z49"/>
    <mergeCell ref="AB49:AE49"/>
    <mergeCell ref="C47:F47"/>
    <mergeCell ref="H47:J47"/>
    <mergeCell ref="L47:O47"/>
    <mergeCell ref="S47:V47"/>
    <mergeCell ref="X47:Z47"/>
    <mergeCell ref="AB47:AE47"/>
  </mergeCells>
  <dataValidations count="1">
    <dataValidation type="whole" operator="greaterThanOrEqual" allowBlank="1" showInputMessage="1" showErrorMessage="1" sqref="S36:S47 S14:S25 AP5 C14:C25 C36:C47">
      <formula1>0</formula1>
      <formula2>0</formula2>
    </dataValidation>
  </dataValidations>
  <hyperlinks>
    <hyperlink ref="AJ5:AN5" location="'IT-2 (Business &amp; Others)'!A1" display="Home"/>
  </hyperlinks>
  <pageMargins left="0.7" right="0.7" top="0.75" bottom="0.75" header="0.3" footer="0.3"/>
  <pageSetup orientation="portrait" horizontalDpi="0" verticalDpi="0"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2:AS50"/>
  <sheetViews>
    <sheetView workbookViewId="0">
      <selection activeCell="H14" sqref="H14:J14"/>
    </sheetView>
  </sheetViews>
  <sheetFormatPr defaultColWidth="2.33203125" defaultRowHeight="13.2" x14ac:dyDescent="0.25"/>
  <cols>
    <col min="1" max="1" width="7.44140625" style="614" bestFit="1" customWidth="1"/>
    <col min="2" max="5" width="2.33203125" style="614"/>
    <col min="6" max="6" width="4.109375" style="614" customWidth="1"/>
    <col min="7" max="8" width="2.33203125" style="614"/>
    <col min="9" max="9" width="2.6640625" style="614" customWidth="1"/>
    <col min="10" max="10" width="5.109375" style="614" customWidth="1"/>
    <col min="11" max="16" width="2.33203125" style="614"/>
    <col min="17" max="17" width="7.44140625" style="614" bestFit="1" customWidth="1"/>
    <col min="18" max="21" width="2.33203125" style="614"/>
    <col min="22" max="22" width="5" style="614" customWidth="1"/>
    <col min="23" max="24" width="2.33203125" style="614"/>
    <col min="25" max="25" width="3.109375" style="614" customWidth="1"/>
    <col min="26" max="26" width="5.44140625" style="614" customWidth="1"/>
    <col min="27" max="30" width="2.33203125" style="614"/>
    <col min="31" max="31" width="5.33203125" style="614" customWidth="1"/>
    <col min="32" max="41" width="2.33203125" style="614"/>
    <col min="42" max="43" width="8.6640625" style="614" bestFit="1" customWidth="1"/>
    <col min="44" max="16384" width="2.33203125" style="614"/>
  </cols>
  <sheetData>
    <row r="2" spans="1:45" x14ac:dyDescent="0.25">
      <c r="A2" s="1067" t="s">
        <v>710</v>
      </c>
      <c r="B2" s="1067"/>
      <c r="C2" s="1067"/>
      <c r="D2" s="1067"/>
      <c r="E2" s="1067"/>
      <c r="F2" s="1067"/>
      <c r="G2" s="1067"/>
      <c r="H2" s="1067"/>
      <c r="I2" s="1067"/>
      <c r="J2" s="1067"/>
      <c r="K2" s="1067"/>
      <c r="L2" s="1067"/>
      <c r="M2" s="1067"/>
      <c r="N2" s="1067"/>
      <c r="O2" s="1067"/>
      <c r="P2" s="1067"/>
      <c r="Q2" s="1067"/>
      <c r="R2" s="1067"/>
      <c r="S2" s="1067"/>
      <c r="T2" s="1067"/>
      <c r="U2" s="1067"/>
      <c r="V2" s="1067"/>
      <c r="W2" s="1067"/>
      <c r="X2" s="1067"/>
      <c r="Y2" s="1067"/>
      <c r="Z2" s="1067"/>
      <c r="AA2" s="1067"/>
      <c r="AB2" s="1067"/>
      <c r="AC2" s="1067"/>
      <c r="AD2" s="1067"/>
      <c r="AE2" s="1067"/>
    </row>
    <row r="3" spans="1:45" ht="13.8" thickBot="1" x14ac:dyDescent="0.3">
      <c r="A3" s="1068"/>
      <c r="B3" s="1068"/>
      <c r="C3" s="1068"/>
      <c r="D3" s="1068"/>
      <c r="E3" s="1068"/>
      <c r="F3" s="1068"/>
      <c r="G3" s="1068"/>
      <c r="H3" s="1068"/>
      <c r="I3" s="1068"/>
      <c r="J3" s="1068"/>
      <c r="K3" s="1068"/>
      <c r="L3" s="1068"/>
      <c r="M3" s="1068"/>
      <c r="N3" s="1068"/>
      <c r="O3" s="1068"/>
      <c r="P3" s="1068"/>
      <c r="Q3" s="1068"/>
      <c r="R3" s="1068"/>
      <c r="S3" s="1068"/>
      <c r="T3" s="1068"/>
      <c r="U3" s="1068"/>
      <c r="V3" s="1068"/>
      <c r="W3" s="1068"/>
      <c r="X3" s="1068"/>
      <c r="Y3" s="1068"/>
      <c r="Z3" s="1068"/>
      <c r="AA3" s="1068"/>
      <c r="AB3" s="1068"/>
      <c r="AC3" s="1068"/>
      <c r="AD3" s="1068"/>
      <c r="AE3" s="1068"/>
    </row>
    <row r="4" spans="1:45" ht="13.8" thickBot="1" x14ac:dyDescent="0.3">
      <c r="A4" s="1069" t="s">
        <v>708</v>
      </c>
      <c r="B4" s="1070"/>
      <c r="C4" s="1070"/>
      <c r="D4" s="1070"/>
      <c r="E4" s="1070"/>
      <c r="F4" s="1070"/>
      <c r="G4" s="1070"/>
      <c r="H4" s="1070"/>
      <c r="I4" s="1070"/>
      <c r="J4" s="1070"/>
      <c r="K4" s="1070"/>
      <c r="L4" s="1070"/>
      <c r="M4" s="1070"/>
      <c r="N4" s="1070"/>
      <c r="O4" s="1070"/>
      <c r="P4" s="1070"/>
      <c r="Q4" s="1070"/>
      <c r="R4" s="1070"/>
      <c r="S4" s="1070"/>
      <c r="T4" s="1070"/>
      <c r="U4" s="1070"/>
      <c r="V4" s="1070"/>
      <c r="W4" s="1070"/>
      <c r="X4" s="1070"/>
      <c r="Y4" s="1070"/>
      <c r="Z4" s="1070"/>
      <c r="AA4" s="1070"/>
      <c r="AB4" s="1070"/>
      <c r="AC4" s="1070"/>
      <c r="AD4" s="1070"/>
      <c r="AE4" s="1071"/>
    </row>
    <row r="5" spans="1:45" ht="16.2" thickBot="1" x14ac:dyDescent="0.35">
      <c r="A5" s="1068"/>
      <c r="B5" s="1068"/>
      <c r="C5" s="1068"/>
      <c r="D5" s="1068"/>
      <c r="E5" s="1068"/>
      <c r="F5" s="1068"/>
      <c r="G5" s="1068"/>
      <c r="H5" s="1068"/>
      <c r="I5" s="1068"/>
      <c r="J5" s="1068"/>
      <c r="K5" s="1068"/>
      <c r="L5" s="1068"/>
      <c r="M5" s="1068"/>
      <c r="N5" s="1068"/>
      <c r="O5" s="1068"/>
      <c r="P5" s="1068"/>
      <c r="Q5" s="1068"/>
      <c r="R5" s="1068"/>
      <c r="S5" s="1068"/>
      <c r="T5" s="1068"/>
      <c r="U5" s="1068"/>
      <c r="V5" s="1068"/>
      <c r="W5" s="1068"/>
      <c r="X5" s="1068"/>
      <c r="Y5" s="1068"/>
      <c r="Z5" s="1068"/>
      <c r="AA5" s="1068"/>
      <c r="AB5" s="1068"/>
      <c r="AC5" s="1068"/>
      <c r="AD5" s="1068"/>
      <c r="AE5" s="1068"/>
      <c r="AI5" s="620"/>
      <c r="AJ5" s="1072" t="s">
        <v>709</v>
      </c>
      <c r="AK5" s="1073"/>
      <c r="AL5" s="1073"/>
      <c r="AM5" s="1073"/>
      <c r="AN5" s="1074"/>
      <c r="AO5" s="621"/>
      <c r="AP5" s="634">
        <v>120</v>
      </c>
    </row>
    <row r="7" spans="1:45" x14ac:dyDescent="0.25">
      <c r="A7" s="619"/>
    </row>
    <row r="8" spans="1:45" x14ac:dyDescent="0.25">
      <c r="A8" s="1060" t="s">
        <v>657</v>
      </c>
      <c r="B8" s="1060"/>
      <c r="C8" s="1060"/>
      <c r="D8" s="1060"/>
      <c r="E8" s="1061"/>
      <c r="F8" s="1061"/>
      <c r="G8" s="1061"/>
      <c r="H8" s="1061"/>
      <c r="I8" s="1061"/>
      <c r="J8" s="1061"/>
      <c r="K8" s="1061"/>
      <c r="L8" s="1061"/>
      <c r="M8" s="1061"/>
      <c r="N8" s="1061"/>
      <c r="O8" s="1061"/>
      <c r="P8" s="615"/>
      <c r="Q8" s="1060" t="s">
        <v>657</v>
      </c>
      <c r="R8" s="1060"/>
      <c r="S8" s="1060"/>
      <c r="T8" s="1060"/>
      <c r="U8" s="1061"/>
      <c r="V8" s="1061"/>
      <c r="W8" s="1061"/>
      <c r="X8" s="1061"/>
      <c r="Y8" s="1061"/>
      <c r="Z8" s="1061"/>
      <c r="AA8" s="1061"/>
      <c r="AB8" s="1061"/>
      <c r="AC8" s="1061"/>
      <c r="AD8" s="1061"/>
      <c r="AE8" s="615"/>
      <c r="AF8" s="613"/>
      <c r="AG8" s="613"/>
      <c r="AH8" s="613"/>
      <c r="AI8" s="613"/>
      <c r="AJ8" s="613"/>
      <c r="AK8" s="613"/>
      <c r="AL8" s="613"/>
      <c r="AM8" s="613"/>
    </row>
    <row r="9" spans="1:45" ht="12" customHeight="1" x14ac:dyDescent="0.25">
      <c r="A9" s="615"/>
      <c r="B9" s="615"/>
      <c r="C9" s="616"/>
      <c r="D9" s="616"/>
      <c r="E9" s="616"/>
      <c r="F9" s="616"/>
      <c r="G9" s="616"/>
      <c r="H9" s="616"/>
      <c r="I9" s="616"/>
      <c r="J9" s="616"/>
      <c r="K9" s="616"/>
      <c r="L9" s="616"/>
      <c r="M9" s="616"/>
      <c r="N9" s="616"/>
      <c r="O9" s="616"/>
      <c r="P9" s="615"/>
      <c r="Q9" s="615"/>
      <c r="R9" s="615"/>
      <c r="S9" s="616"/>
      <c r="T9" s="616"/>
      <c r="U9" s="615"/>
      <c r="V9" s="616"/>
      <c r="W9" s="616"/>
      <c r="X9" s="616"/>
      <c r="Y9" s="616"/>
      <c r="Z9" s="616"/>
      <c r="AA9" s="616"/>
      <c r="AB9" s="616"/>
      <c r="AC9" s="616"/>
      <c r="AD9" s="616"/>
      <c r="AE9" s="615"/>
      <c r="AF9" s="613"/>
      <c r="AG9" s="613"/>
      <c r="AH9" s="613"/>
      <c r="AI9" s="613"/>
      <c r="AJ9" s="613"/>
      <c r="AK9" s="613"/>
      <c r="AL9" s="613"/>
      <c r="AM9" s="613"/>
    </row>
    <row r="10" spans="1:45" ht="18" customHeight="1" x14ac:dyDescent="0.25">
      <c r="A10" s="1060" t="s">
        <v>658</v>
      </c>
      <c r="B10" s="1060"/>
      <c r="C10" s="1060"/>
      <c r="D10" s="1060"/>
      <c r="E10" s="1061"/>
      <c r="F10" s="1061"/>
      <c r="G10" s="1061"/>
      <c r="H10" s="1061"/>
      <c r="I10" s="1061"/>
      <c r="J10" s="1061"/>
      <c r="K10" s="1061"/>
      <c r="L10" s="1061"/>
      <c r="M10" s="1061"/>
      <c r="N10" s="1061"/>
      <c r="O10" s="1061"/>
      <c r="P10" s="615"/>
      <c r="Q10" s="1060" t="s">
        <v>658</v>
      </c>
      <c r="R10" s="1060"/>
      <c r="S10" s="1060"/>
      <c r="T10" s="1060"/>
      <c r="U10" s="1062"/>
      <c r="V10" s="1062"/>
      <c r="W10" s="1062"/>
      <c r="X10" s="1062"/>
      <c r="Y10" s="1062"/>
      <c r="Z10" s="1062"/>
      <c r="AA10" s="1062"/>
      <c r="AB10" s="1062"/>
      <c r="AC10" s="1062"/>
      <c r="AD10" s="1062"/>
    </row>
    <row r="11" spans="1:45" ht="13.5" customHeight="1" x14ac:dyDescent="0.25">
      <c r="A11" s="617"/>
      <c r="B11" s="618"/>
      <c r="C11" s="617"/>
      <c r="D11" s="617"/>
      <c r="E11" s="617"/>
      <c r="F11" s="617"/>
      <c r="G11" s="618"/>
      <c r="H11" s="617"/>
      <c r="I11" s="617"/>
      <c r="J11" s="617"/>
      <c r="K11" s="618"/>
      <c r="L11" s="617"/>
      <c r="M11" s="617"/>
      <c r="N11" s="617"/>
      <c r="O11" s="617"/>
      <c r="P11" s="617"/>
      <c r="Q11" s="617"/>
      <c r="R11" s="617"/>
      <c r="S11" s="617"/>
      <c r="T11" s="617"/>
      <c r="U11" s="617"/>
      <c r="V11" s="618"/>
      <c r="W11" s="617"/>
      <c r="X11" s="617"/>
      <c r="Y11" s="617"/>
      <c r="Z11" s="618"/>
      <c r="AA11" s="617"/>
      <c r="AB11" s="617"/>
      <c r="AC11" s="617"/>
      <c r="AD11" s="617"/>
      <c r="AE11" s="618"/>
      <c r="AF11" s="613"/>
      <c r="AG11" s="613"/>
      <c r="AH11" s="613"/>
      <c r="AI11" s="613"/>
      <c r="AJ11" s="613"/>
      <c r="AK11" s="613"/>
      <c r="AL11" s="613"/>
      <c r="AM11" s="613"/>
    </row>
    <row r="12" spans="1:45" ht="26.25" customHeight="1" x14ac:dyDescent="0.25">
      <c r="A12" s="622" t="s">
        <v>659</v>
      </c>
      <c r="B12" s="623"/>
      <c r="C12" s="1059" t="s">
        <v>665</v>
      </c>
      <c r="D12" s="1059"/>
      <c r="E12" s="1059"/>
      <c r="F12" s="1059"/>
      <c r="G12" s="623"/>
      <c r="H12" s="1059" t="s">
        <v>574</v>
      </c>
      <c r="I12" s="1059"/>
      <c r="J12" s="1059"/>
      <c r="K12" s="623"/>
      <c r="L12" s="1059" t="s">
        <v>660</v>
      </c>
      <c r="M12" s="1059"/>
      <c r="N12" s="1059"/>
      <c r="O12" s="1059"/>
      <c r="P12" s="617"/>
      <c r="Q12" s="622" t="s">
        <v>659</v>
      </c>
      <c r="R12" s="623"/>
      <c r="S12" s="1059" t="s">
        <v>665</v>
      </c>
      <c r="T12" s="1059"/>
      <c r="U12" s="1059"/>
      <c r="V12" s="1059"/>
      <c r="W12" s="623"/>
      <c r="X12" s="1059" t="s">
        <v>574</v>
      </c>
      <c r="Y12" s="1059"/>
      <c r="Z12" s="1059"/>
      <c r="AA12" s="623"/>
      <c r="AB12" s="1059" t="s">
        <v>660</v>
      </c>
      <c r="AC12" s="1059"/>
      <c r="AD12" s="1059"/>
      <c r="AE12" s="1059"/>
      <c r="AF12" s="613"/>
      <c r="AG12" s="613"/>
      <c r="AH12" s="613"/>
      <c r="AI12" s="613"/>
      <c r="AJ12" s="613"/>
      <c r="AK12" s="613"/>
      <c r="AL12" s="613"/>
      <c r="AM12" s="613"/>
    </row>
    <row r="13" spans="1:45" x14ac:dyDescent="0.25">
      <c r="A13" s="624"/>
      <c r="B13" s="624"/>
      <c r="C13" s="624"/>
      <c r="D13" s="624"/>
      <c r="E13" s="624"/>
      <c r="F13" s="618"/>
      <c r="G13" s="624"/>
      <c r="H13" s="624"/>
      <c r="I13" s="624"/>
      <c r="J13" s="618"/>
      <c r="K13" s="624"/>
      <c r="L13" s="624"/>
      <c r="M13" s="624"/>
      <c r="N13" s="624"/>
      <c r="O13" s="618"/>
      <c r="P13" s="624"/>
      <c r="Q13" s="624"/>
      <c r="R13" s="624"/>
      <c r="S13" s="624"/>
      <c r="T13" s="624"/>
      <c r="U13" s="624"/>
      <c r="V13" s="618"/>
      <c r="W13" s="624"/>
      <c r="X13" s="624"/>
      <c r="Y13" s="624"/>
      <c r="Z13" s="618"/>
      <c r="AA13" s="624"/>
      <c r="AB13" s="624"/>
      <c r="AC13" s="624"/>
      <c r="AD13" s="624"/>
      <c r="AE13" s="618"/>
      <c r="AF13" s="613"/>
      <c r="AG13" s="613"/>
      <c r="AH13" s="613"/>
      <c r="AI13" s="613"/>
      <c r="AJ13" s="613"/>
      <c r="AK13" s="613"/>
      <c r="AL13" s="613"/>
      <c r="AM13" s="613"/>
    </row>
    <row r="14" spans="1:45" ht="18.600000000000001" customHeight="1" x14ac:dyDescent="0.25">
      <c r="A14" s="625">
        <v>45108</v>
      </c>
      <c r="B14" s="626"/>
      <c r="C14" s="1053">
        <f>IF(AND(AP14&gt;0),(H14+AP5+AP14),0)</f>
        <v>0</v>
      </c>
      <c r="D14" s="1053"/>
      <c r="E14" s="1053"/>
      <c r="F14" s="1053"/>
      <c r="G14" s="626"/>
      <c r="H14" s="1056"/>
      <c r="I14" s="1057"/>
      <c r="J14" s="1058"/>
      <c r="K14" s="633"/>
      <c r="L14" s="1055">
        <f>C14-H14</f>
        <v>0</v>
      </c>
      <c r="M14" s="1055"/>
      <c r="N14" s="1055"/>
      <c r="O14" s="1055"/>
      <c r="P14" s="627"/>
      <c r="Q14" s="625">
        <f>A14</f>
        <v>45108</v>
      </c>
      <c r="R14" s="626"/>
      <c r="S14" s="1053">
        <f>IF(AND(AQ14&gt;0),(X14+AP5+AQ14),0)</f>
        <v>0</v>
      </c>
      <c r="T14" s="1053"/>
      <c r="U14" s="1053"/>
      <c r="V14" s="1053"/>
      <c r="W14" s="626"/>
      <c r="X14" s="1056"/>
      <c r="Y14" s="1057"/>
      <c r="Z14" s="1058"/>
      <c r="AA14" s="494"/>
      <c r="AB14" s="1055">
        <f>S14-X14</f>
        <v>0</v>
      </c>
      <c r="AC14" s="1055"/>
      <c r="AD14" s="1055"/>
      <c r="AE14" s="1055"/>
      <c r="AF14" s="613"/>
      <c r="AG14" s="613"/>
      <c r="AH14" s="613"/>
      <c r="AI14" s="613"/>
      <c r="AJ14" s="613"/>
      <c r="AK14" s="613"/>
      <c r="AL14" s="613"/>
      <c r="AM14" s="613"/>
      <c r="AP14" s="612">
        <f>IF(AND(H14&gt;0,H14&lt;1950),(H14/10%)+500,0)+IF(AND(H14&gt;=1950,H14&lt;999999999999999),(H14/5%)+20000,0)</f>
        <v>0</v>
      </c>
      <c r="AQ14" s="612">
        <f>IF(AND(X14&gt;0,X14&lt;1950),(X14/10%)+500,0)+IF(AND(X14&gt;=1950,X14&lt;999999999999999),(X14/5%)+20000,0)</f>
        <v>0</v>
      </c>
      <c r="AS14" s="628"/>
    </row>
    <row r="15" spans="1:45" ht="18.600000000000001" customHeight="1" x14ac:dyDescent="0.25">
      <c r="A15" s="625">
        <v>45139</v>
      </c>
      <c r="B15" s="626"/>
      <c r="C15" s="1053">
        <f t="shared" ref="C15:C25" si="0">IF(AND(AP15&gt;0),(H15+AP9+AP15),0)</f>
        <v>0</v>
      </c>
      <c r="D15" s="1053"/>
      <c r="E15" s="1053"/>
      <c r="F15" s="1053"/>
      <c r="G15" s="626"/>
      <c r="H15" s="1054"/>
      <c r="I15" s="1054"/>
      <c r="J15" s="1054"/>
      <c r="K15" s="626"/>
      <c r="L15" s="1055">
        <f t="shared" ref="L15:L25" si="1">C15-H15</f>
        <v>0</v>
      </c>
      <c r="M15" s="1055"/>
      <c r="N15" s="1055"/>
      <c r="O15" s="1055"/>
      <c r="P15" s="627"/>
      <c r="Q15" s="625">
        <f t="shared" ref="Q15:Q25" si="2">A15</f>
        <v>45139</v>
      </c>
      <c r="R15" s="626"/>
      <c r="S15" s="1053">
        <f t="shared" ref="S15:S25" si="3">IF(AND(AQ15&gt;0),(X15+AP9+AQ15),0)</f>
        <v>0</v>
      </c>
      <c r="T15" s="1053"/>
      <c r="U15" s="1053"/>
      <c r="V15" s="1053"/>
      <c r="W15" s="626"/>
      <c r="X15" s="1054"/>
      <c r="Y15" s="1054"/>
      <c r="Z15" s="1054"/>
      <c r="AA15" s="494"/>
      <c r="AB15" s="1055">
        <f t="shared" ref="AB15:AB25" si="4">S15-X15</f>
        <v>0</v>
      </c>
      <c r="AC15" s="1055"/>
      <c r="AD15" s="1055"/>
      <c r="AE15" s="1055"/>
      <c r="AF15" s="613"/>
      <c r="AG15" s="613"/>
      <c r="AH15" s="613"/>
      <c r="AI15" s="613"/>
      <c r="AJ15" s="613"/>
      <c r="AK15" s="613"/>
      <c r="AL15" s="613"/>
      <c r="AM15" s="613"/>
      <c r="AP15" s="612">
        <f t="shared" ref="AP15:AP26" si="5">IF(AND(H15&gt;0,H15&lt;1950),(H15/10%)+500,0)+IF(AND(H15&gt;=1950,H15&lt;999999999999999),(H15/5%)+20000,0)</f>
        <v>0</v>
      </c>
      <c r="AQ15" s="612">
        <f t="shared" ref="AQ15:AQ26" si="6">IF(AND(X15&gt;0,X15&lt;1950),(X15/10%)+500,0)+IF(AND(X15&gt;=1950,X15&lt;999999999999999),(X15/5%)+20000,0)</f>
        <v>0</v>
      </c>
    </row>
    <row r="16" spans="1:45" ht="18.600000000000001" customHeight="1" x14ac:dyDescent="0.25">
      <c r="A16" s="625">
        <v>45170</v>
      </c>
      <c r="B16" s="626"/>
      <c r="C16" s="1053">
        <f t="shared" si="0"/>
        <v>0</v>
      </c>
      <c r="D16" s="1053"/>
      <c r="E16" s="1053"/>
      <c r="F16" s="1053"/>
      <c r="G16" s="626"/>
      <c r="H16" s="1054"/>
      <c r="I16" s="1054"/>
      <c r="J16" s="1054"/>
      <c r="K16" s="626"/>
      <c r="L16" s="1055">
        <f t="shared" si="1"/>
        <v>0</v>
      </c>
      <c r="M16" s="1055"/>
      <c r="N16" s="1055"/>
      <c r="O16" s="1055"/>
      <c r="P16" s="627"/>
      <c r="Q16" s="625">
        <f t="shared" si="2"/>
        <v>45170</v>
      </c>
      <c r="R16" s="626"/>
      <c r="S16" s="1053">
        <f t="shared" si="3"/>
        <v>0</v>
      </c>
      <c r="T16" s="1053"/>
      <c r="U16" s="1053"/>
      <c r="V16" s="1053"/>
      <c r="W16" s="626"/>
      <c r="X16" s="1054"/>
      <c r="Y16" s="1054"/>
      <c r="Z16" s="1054"/>
      <c r="AA16" s="494"/>
      <c r="AB16" s="1055">
        <f t="shared" si="4"/>
        <v>0</v>
      </c>
      <c r="AC16" s="1055"/>
      <c r="AD16" s="1055"/>
      <c r="AE16" s="1055"/>
      <c r="AF16" s="613"/>
      <c r="AG16" s="613"/>
      <c r="AH16" s="613"/>
      <c r="AI16" s="613"/>
      <c r="AJ16" s="613"/>
      <c r="AK16" s="613"/>
      <c r="AL16" s="613"/>
      <c r="AM16" s="613"/>
      <c r="AP16" s="612">
        <f t="shared" si="5"/>
        <v>0</v>
      </c>
      <c r="AQ16" s="612">
        <f t="shared" si="6"/>
        <v>0</v>
      </c>
    </row>
    <row r="17" spans="1:43" ht="18.600000000000001" customHeight="1" x14ac:dyDescent="0.25">
      <c r="A17" s="625">
        <v>45200</v>
      </c>
      <c r="B17" s="626"/>
      <c r="C17" s="1053">
        <f t="shared" si="0"/>
        <v>0</v>
      </c>
      <c r="D17" s="1053"/>
      <c r="E17" s="1053"/>
      <c r="F17" s="1053"/>
      <c r="G17" s="626"/>
      <c r="H17" s="1054"/>
      <c r="I17" s="1054"/>
      <c r="J17" s="1054"/>
      <c r="K17" s="626"/>
      <c r="L17" s="1055">
        <f t="shared" si="1"/>
        <v>0</v>
      </c>
      <c r="M17" s="1055"/>
      <c r="N17" s="1055"/>
      <c r="O17" s="1055"/>
      <c r="P17" s="627"/>
      <c r="Q17" s="625">
        <f t="shared" si="2"/>
        <v>45200</v>
      </c>
      <c r="R17" s="626"/>
      <c r="S17" s="1053">
        <f t="shared" si="3"/>
        <v>0</v>
      </c>
      <c r="T17" s="1053"/>
      <c r="U17" s="1053"/>
      <c r="V17" s="1053"/>
      <c r="W17" s="626"/>
      <c r="X17" s="1054"/>
      <c r="Y17" s="1054"/>
      <c r="Z17" s="1054"/>
      <c r="AA17" s="494"/>
      <c r="AB17" s="1055">
        <f t="shared" si="4"/>
        <v>0</v>
      </c>
      <c r="AC17" s="1055"/>
      <c r="AD17" s="1055"/>
      <c r="AE17" s="1055"/>
      <c r="AF17" s="613"/>
      <c r="AG17" s="613"/>
      <c r="AH17" s="613"/>
      <c r="AI17" s="613"/>
      <c r="AJ17" s="613"/>
      <c r="AK17" s="613"/>
      <c r="AL17" s="613"/>
      <c r="AM17" s="613"/>
      <c r="AP17" s="612">
        <f t="shared" si="5"/>
        <v>0</v>
      </c>
      <c r="AQ17" s="612">
        <f t="shared" si="6"/>
        <v>0</v>
      </c>
    </row>
    <row r="18" spans="1:43" ht="18.600000000000001" customHeight="1" x14ac:dyDescent="0.25">
      <c r="A18" s="625">
        <v>45231</v>
      </c>
      <c r="B18" s="626"/>
      <c r="C18" s="1053">
        <f t="shared" si="0"/>
        <v>0</v>
      </c>
      <c r="D18" s="1053"/>
      <c r="E18" s="1053"/>
      <c r="F18" s="1053"/>
      <c r="G18" s="626"/>
      <c r="H18" s="1054"/>
      <c r="I18" s="1054"/>
      <c r="J18" s="1054"/>
      <c r="K18" s="626"/>
      <c r="L18" s="1055">
        <f t="shared" si="1"/>
        <v>0</v>
      </c>
      <c r="M18" s="1055"/>
      <c r="N18" s="1055"/>
      <c r="O18" s="1055"/>
      <c r="P18" s="627"/>
      <c r="Q18" s="625">
        <f t="shared" si="2"/>
        <v>45231</v>
      </c>
      <c r="R18" s="626"/>
      <c r="S18" s="1053">
        <f t="shared" si="3"/>
        <v>0</v>
      </c>
      <c r="T18" s="1053"/>
      <c r="U18" s="1053"/>
      <c r="V18" s="1053"/>
      <c r="W18" s="626"/>
      <c r="X18" s="1054"/>
      <c r="Y18" s="1054"/>
      <c r="Z18" s="1054"/>
      <c r="AA18" s="494"/>
      <c r="AB18" s="1055">
        <f t="shared" si="4"/>
        <v>0</v>
      </c>
      <c r="AC18" s="1055"/>
      <c r="AD18" s="1055"/>
      <c r="AE18" s="1055"/>
      <c r="AF18" s="613"/>
      <c r="AG18" s="613"/>
      <c r="AH18" s="613"/>
      <c r="AI18" s="613"/>
      <c r="AJ18" s="613"/>
      <c r="AK18" s="613"/>
      <c r="AL18" s="613"/>
      <c r="AM18" s="613"/>
      <c r="AP18" s="612">
        <f t="shared" si="5"/>
        <v>0</v>
      </c>
      <c r="AQ18" s="612">
        <f t="shared" si="6"/>
        <v>0</v>
      </c>
    </row>
    <row r="19" spans="1:43" ht="18.600000000000001" customHeight="1" x14ac:dyDescent="0.25">
      <c r="A19" s="625">
        <v>45261</v>
      </c>
      <c r="B19" s="626"/>
      <c r="C19" s="1053">
        <f t="shared" si="0"/>
        <v>0</v>
      </c>
      <c r="D19" s="1053"/>
      <c r="E19" s="1053"/>
      <c r="F19" s="1053"/>
      <c r="G19" s="626"/>
      <c r="H19" s="1054"/>
      <c r="I19" s="1054"/>
      <c r="J19" s="1054"/>
      <c r="K19" s="626"/>
      <c r="L19" s="1055">
        <f t="shared" si="1"/>
        <v>0</v>
      </c>
      <c r="M19" s="1055"/>
      <c r="N19" s="1055"/>
      <c r="O19" s="1055"/>
      <c r="P19" s="627"/>
      <c r="Q19" s="625">
        <f t="shared" si="2"/>
        <v>45261</v>
      </c>
      <c r="R19" s="626"/>
      <c r="S19" s="1053">
        <f t="shared" si="3"/>
        <v>0</v>
      </c>
      <c r="T19" s="1053"/>
      <c r="U19" s="1053"/>
      <c r="V19" s="1053"/>
      <c r="W19" s="626"/>
      <c r="X19" s="1054"/>
      <c r="Y19" s="1054"/>
      <c r="Z19" s="1054"/>
      <c r="AA19" s="494"/>
      <c r="AB19" s="1055">
        <f t="shared" si="4"/>
        <v>0</v>
      </c>
      <c r="AC19" s="1055"/>
      <c r="AD19" s="1055"/>
      <c r="AE19" s="1055"/>
      <c r="AF19" s="613"/>
      <c r="AG19" s="613"/>
      <c r="AH19" s="613"/>
      <c r="AI19" s="613"/>
      <c r="AJ19" s="613"/>
      <c r="AK19" s="613"/>
      <c r="AL19" s="613"/>
      <c r="AM19" s="613"/>
      <c r="AP19" s="612">
        <f t="shared" si="5"/>
        <v>0</v>
      </c>
      <c r="AQ19" s="612">
        <f t="shared" si="6"/>
        <v>0</v>
      </c>
    </row>
    <row r="20" spans="1:43" ht="18.600000000000001" customHeight="1" x14ac:dyDescent="0.25">
      <c r="A20" s="625">
        <v>45292</v>
      </c>
      <c r="B20" s="626"/>
      <c r="C20" s="1053">
        <f t="shared" si="0"/>
        <v>0</v>
      </c>
      <c r="D20" s="1053"/>
      <c r="E20" s="1053"/>
      <c r="F20" s="1053"/>
      <c r="G20" s="626"/>
      <c r="H20" s="1054"/>
      <c r="I20" s="1054"/>
      <c r="J20" s="1054"/>
      <c r="K20" s="626"/>
      <c r="L20" s="1055">
        <f t="shared" si="1"/>
        <v>0</v>
      </c>
      <c r="M20" s="1055"/>
      <c r="N20" s="1055"/>
      <c r="O20" s="1055"/>
      <c r="P20" s="627"/>
      <c r="Q20" s="625">
        <f t="shared" si="2"/>
        <v>45292</v>
      </c>
      <c r="R20" s="626"/>
      <c r="S20" s="1053">
        <f t="shared" si="3"/>
        <v>0</v>
      </c>
      <c r="T20" s="1053"/>
      <c r="U20" s="1053"/>
      <c r="V20" s="1053"/>
      <c r="W20" s="626"/>
      <c r="X20" s="1054"/>
      <c r="Y20" s="1054"/>
      <c r="Z20" s="1054"/>
      <c r="AA20" s="494"/>
      <c r="AB20" s="1055">
        <f t="shared" si="4"/>
        <v>0</v>
      </c>
      <c r="AC20" s="1055"/>
      <c r="AD20" s="1055"/>
      <c r="AE20" s="1055"/>
      <c r="AF20" s="613"/>
      <c r="AG20" s="613"/>
      <c r="AH20" s="613"/>
      <c r="AI20" s="613"/>
      <c r="AJ20" s="613"/>
      <c r="AK20" s="613"/>
      <c r="AL20" s="613"/>
      <c r="AM20" s="613"/>
      <c r="AP20" s="612">
        <f t="shared" si="5"/>
        <v>0</v>
      </c>
      <c r="AQ20" s="612">
        <f t="shared" si="6"/>
        <v>0</v>
      </c>
    </row>
    <row r="21" spans="1:43" ht="18.600000000000001" customHeight="1" x14ac:dyDescent="0.25">
      <c r="A21" s="625">
        <v>45323</v>
      </c>
      <c r="B21" s="626"/>
      <c r="C21" s="1053">
        <f t="shared" si="0"/>
        <v>0</v>
      </c>
      <c r="D21" s="1053"/>
      <c r="E21" s="1053"/>
      <c r="F21" s="1053"/>
      <c r="G21" s="626"/>
      <c r="H21" s="1054"/>
      <c r="I21" s="1054"/>
      <c r="J21" s="1054"/>
      <c r="K21" s="626"/>
      <c r="L21" s="1055">
        <f t="shared" si="1"/>
        <v>0</v>
      </c>
      <c r="M21" s="1055"/>
      <c r="N21" s="1055"/>
      <c r="O21" s="1055"/>
      <c r="P21" s="627"/>
      <c r="Q21" s="625">
        <f t="shared" si="2"/>
        <v>45323</v>
      </c>
      <c r="R21" s="626"/>
      <c r="S21" s="1053">
        <f t="shared" si="3"/>
        <v>0</v>
      </c>
      <c r="T21" s="1053"/>
      <c r="U21" s="1053"/>
      <c r="V21" s="1053"/>
      <c r="W21" s="626"/>
      <c r="X21" s="1054"/>
      <c r="Y21" s="1054"/>
      <c r="Z21" s="1054"/>
      <c r="AA21" s="494"/>
      <c r="AB21" s="1055">
        <f t="shared" si="4"/>
        <v>0</v>
      </c>
      <c r="AC21" s="1055"/>
      <c r="AD21" s="1055"/>
      <c r="AE21" s="1055"/>
      <c r="AF21" s="613"/>
      <c r="AG21" s="613"/>
      <c r="AH21" s="613"/>
      <c r="AI21" s="613"/>
      <c r="AJ21" s="613"/>
      <c r="AK21" s="613"/>
      <c r="AL21" s="613"/>
      <c r="AM21" s="613"/>
      <c r="AP21" s="612">
        <f t="shared" si="5"/>
        <v>0</v>
      </c>
      <c r="AQ21" s="612">
        <f t="shared" si="6"/>
        <v>0</v>
      </c>
    </row>
    <row r="22" spans="1:43" ht="18.600000000000001" customHeight="1" x14ac:dyDescent="0.25">
      <c r="A22" s="625">
        <v>45352</v>
      </c>
      <c r="B22" s="626"/>
      <c r="C22" s="1053">
        <f t="shared" si="0"/>
        <v>0</v>
      </c>
      <c r="D22" s="1053"/>
      <c r="E22" s="1053"/>
      <c r="F22" s="1053"/>
      <c r="G22" s="626"/>
      <c r="H22" s="1054"/>
      <c r="I22" s="1054"/>
      <c r="J22" s="1054"/>
      <c r="K22" s="626"/>
      <c r="L22" s="1055">
        <f t="shared" si="1"/>
        <v>0</v>
      </c>
      <c r="M22" s="1055"/>
      <c r="N22" s="1055"/>
      <c r="O22" s="1055"/>
      <c r="P22" s="627"/>
      <c r="Q22" s="625">
        <f t="shared" si="2"/>
        <v>45352</v>
      </c>
      <c r="R22" s="626"/>
      <c r="S22" s="1053">
        <f t="shared" si="3"/>
        <v>0</v>
      </c>
      <c r="T22" s="1053"/>
      <c r="U22" s="1053"/>
      <c r="V22" s="1053"/>
      <c r="W22" s="626"/>
      <c r="X22" s="1054"/>
      <c r="Y22" s="1054"/>
      <c r="Z22" s="1054"/>
      <c r="AA22" s="494"/>
      <c r="AB22" s="1055">
        <f t="shared" si="4"/>
        <v>0</v>
      </c>
      <c r="AC22" s="1055"/>
      <c r="AD22" s="1055"/>
      <c r="AE22" s="1055"/>
      <c r="AF22" s="613"/>
      <c r="AG22" s="613"/>
      <c r="AH22" s="613"/>
      <c r="AI22" s="613"/>
      <c r="AJ22" s="613"/>
      <c r="AK22" s="613"/>
      <c r="AL22" s="613"/>
      <c r="AM22" s="613"/>
      <c r="AP22" s="612">
        <f t="shared" si="5"/>
        <v>0</v>
      </c>
      <c r="AQ22" s="612">
        <f t="shared" si="6"/>
        <v>0</v>
      </c>
    </row>
    <row r="23" spans="1:43" ht="18.600000000000001" customHeight="1" x14ac:dyDescent="0.25">
      <c r="A23" s="625">
        <v>45383</v>
      </c>
      <c r="B23" s="626"/>
      <c r="C23" s="1053">
        <f t="shared" si="0"/>
        <v>0</v>
      </c>
      <c r="D23" s="1053"/>
      <c r="E23" s="1053"/>
      <c r="F23" s="1053"/>
      <c r="G23" s="626"/>
      <c r="H23" s="1054"/>
      <c r="I23" s="1054"/>
      <c r="J23" s="1054"/>
      <c r="K23" s="626"/>
      <c r="L23" s="1055">
        <f t="shared" si="1"/>
        <v>0</v>
      </c>
      <c r="M23" s="1055"/>
      <c r="N23" s="1055"/>
      <c r="O23" s="1055"/>
      <c r="P23" s="627"/>
      <c r="Q23" s="625">
        <f t="shared" si="2"/>
        <v>45383</v>
      </c>
      <c r="R23" s="626"/>
      <c r="S23" s="1053">
        <f t="shared" si="3"/>
        <v>0</v>
      </c>
      <c r="T23" s="1053"/>
      <c r="U23" s="1053"/>
      <c r="V23" s="1053"/>
      <c r="W23" s="626"/>
      <c r="X23" s="1054"/>
      <c r="Y23" s="1054"/>
      <c r="Z23" s="1054"/>
      <c r="AA23" s="494"/>
      <c r="AB23" s="1055">
        <f t="shared" si="4"/>
        <v>0</v>
      </c>
      <c r="AC23" s="1055"/>
      <c r="AD23" s="1055"/>
      <c r="AE23" s="1055"/>
      <c r="AF23" s="613"/>
      <c r="AG23" s="613"/>
      <c r="AH23" s="613"/>
      <c r="AI23" s="613"/>
      <c r="AJ23" s="613"/>
      <c r="AK23" s="613"/>
      <c r="AL23" s="613"/>
      <c r="AM23" s="613"/>
      <c r="AP23" s="612">
        <f t="shared" si="5"/>
        <v>0</v>
      </c>
      <c r="AQ23" s="612">
        <f t="shared" si="6"/>
        <v>0</v>
      </c>
    </row>
    <row r="24" spans="1:43" ht="18.600000000000001" customHeight="1" x14ac:dyDescent="0.25">
      <c r="A24" s="625">
        <v>45413</v>
      </c>
      <c r="B24" s="626"/>
      <c r="C24" s="1053">
        <f t="shared" si="0"/>
        <v>0</v>
      </c>
      <c r="D24" s="1053"/>
      <c r="E24" s="1053"/>
      <c r="F24" s="1053"/>
      <c r="G24" s="626"/>
      <c r="H24" s="1054"/>
      <c r="I24" s="1054"/>
      <c r="J24" s="1054"/>
      <c r="K24" s="626"/>
      <c r="L24" s="1055">
        <f t="shared" si="1"/>
        <v>0</v>
      </c>
      <c r="M24" s="1055"/>
      <c r="N24" s="1055"/>
      <c r="O24" s="1055"/>
      <c r="P24" s="627"/>
      <c r="Q24" s="625">
        <f t="shared" si="2"/>
        <v>45413</v>
      </c>
      <c r="R24" s="626"/>
      <c r="S24" s="1053">
        <f t="shared" si="3"/>
        <v>0</v>
      </c>
      <c r="T24" s="1053"/>
      <c r="U24" s="1053"/>
      <c r="V24" s="1053"/>
      <c r="W24" s="626"/>
      <c r="X24" s="1054"/>
      <c r="Y24" s="1054"/>
      <c r="Z24" s="1054"/>
      <c r="AA24" s="494"/>
      <c r="AB24" s="1055">
        <f t="shared" si="4"/>
        <v>0</v>
      </c>
      <c r="AC24" s="1055"/>
      <c r="AD24" s="1055"/>
      <c r="AE24" s="1055"/>
      <c r="AF24" s="613"/>
      <c r="AG24" s="613"/>
      <c r="AH24" s="613"/>
      <c r="AI24" s="613"/>
      <c r="AJ24" s="613"/>
      <c r="AK24" s="613"/>
      <c r="AL24" s="613"/>
      <c r="AM24" s="613"/>
      <c r="AP24" s="612">
        <f t="shared" si="5"/>
        <v>0</v>
      </c>
      <c r="AQ24" s="612">
        <f t="shared" si="6"/>
        <v>0</v>
      </c>
    </row>
    <row r="25" spans="1:43" ht="18.600000000000001" customHeight="1" x14ac:dyDescent="0.25">
      <c r="A25" s="625">
        <v>45444</v>
      </c>
      <c r="B25" s="626"/>
      <c r="C25" s="1053">
        <f t="shared" si="0"/>
        <v>0</v>
      </c>
      <c r="D25" s="1053"/>
      <c r="E25" s="1053"/>
      <c r="F25" s="1053"/>
      <c r="G25" s="626"/>
      <c r="H25" s="1054"/>
      <c r="I25" s="1054"/>
      <c r="J25" s="1054"/>
      <c r="K25" s="626"/>
      <c r="L25" s="1055">
        <f t="shared" si="1"/>
        <v>0</v>
      </c>
      <c r="M25" s="1055"/>
      <c r="N25" s="1055"/>
      <c r="O25" s="1055"/>
      <c r="P25" s="627"/>
      <c r="Q25" s="625">
        <f t="shared" si="2"/>
        <v>45444</v>
      </c>
      <c r="R25" s="626"/>
      <c r="S25" s="1053">
        <f t="shared" si="3"/>
        <v>0</v>
      </c>
      <c r="T25" s="1053"/>
      <c r="U25" s="1053"/>
      <c r="V25" s="1053"/>
      <c r="W25" s="626"/>
      <c r="X25" s="1054"/>
      <c r="Y25" s="1054"/>
      <c r="Z25" s="1054"/>
      <c r="AA25" s="494"/>
      <c r="AB25" s="1055">
        <f t="shared" si="4"/>
        <v>0</v>
      </c>
      <c r="AC25" s="1055"/>
      <c r="AD25" s="1055"/>
      <c r="AE25" s="1055"/>
      <c r="AF25" s="613"/>
      <c r="AG25" s="613"/>
      <c r="AH25" s="613"/>
      <c r="AI25" s="613"/>
      <c r="AJ25" s="613"/>
      <c r="AK25" s="613"/>
      <c r="AL25" s="613"/>
      <c r="AM25" s="613"/>
      <c r="AP25" s="612">
        <f t="shared" si="5"/>
        <v>0</v>
      </c>
      <c r="AQ25" s="612">
        <f t="shared" si="6"/>
        <v>0</v>
      </c>
    </row>
    <row r="26" spans="1:43" x14ac:dyDescent="0.25">
      <c r="A26" s="618"/>
      <c r="B26" s="626"/>
      <c r="C26" s="626"/>
      <c r="D26" s="626"/>
      <c r="E26" s="626"/>
      <c r="F26" s="626"/>
      <c r="G26" s="626"/>
      <c r="H26" s="626"/>
      <c r="I26" s="626"/>
      <c r="J26" s="626"/>
      <c r="K26" s="626"/>
      <c r="L26" s="626"/>
      <c r="M26" s="626"/>
      <c r="N26" s="626"/>
      <c r="O26" s="618"/>
      <c r="P26" s="618"/>
      <c r="Q26" s="618"/>
      <c r="R26" s="626"/>
      <c r="S26" s="626"/>
      <c r="T26" s="626"/>
      <c r="U26" s="626"/>
      <c r="V26" s="626"/>
      <c r="W26" s="626"/>
      <c r="X26" s="626"/>
      <c r="Y26" s="626"/>
      <c r="Z26" s="626"/>
      <c r="AA26" s="626"/>
      <c r="AB26" s="626"/>
      <c r="AC26" s="626"/>
      <c r="AD26" s="626"/>
      <c r="AE26" s="618"/>
      <c r="AF26" s="613"/>
      <c r="AG26" s="613"/>
      <c r="AH26" s="613"/>
      <c r="AI26" s="613"/>
      <c r="AJ26" s="613"/>
      <c r="AK26" s="613"/>
      <c r="AL26" s="613"/>
      <c r="AM26" s="613"/>
      <c r="AP26" s="612">
        <f t="shared" si="5"/>
        <v>0</v>
      </c>
      <c r="AQ26" s="612">
        <f t="shared" si="6"/>
        <v>0</v>
      </c>
    </row>
    <row r="27" spans="1:43" ht="18" customHeight="1" thickBot="1" x14ac:dyDescent="0.3">
      <c r="A27" s="627"/>
      <c r="B27" s="626"/>
      <c r="C27" s="1051">
        <f>SUM(C14:F25)</f>
        <v>0</v>
      </c>
      <c r="D27" s="1051"/>
      <c r="E27" s="1051"/>
      <c r="F27" s="1051"/>
      <c r="G27" s="626"/>
      <c r="H27" s="1051">
        <f>SUM(H14:J26)</f>
        <v>0</v>
      </c>
      <c r="I27" s="1051"/>
      <c r="J27" s="1051"/>
      <c r="K27" s="626"/>
      <c r="L27" s="1052">
        <f>C27-H27</f>
        <v>0</v>
      </c>
      <c r="M27" s="1052"/>
      <c r="N27" s="1052"/>
      <c r="O27" s="1052"/>
      <c r="P27" s="618"/>
      <c r="Q27" s="627"/>
      <c r="R27" s="626"/>
      <c r="S27" s="1051">
        <f>SUM(S14:V25)</f>
        <v>0</v>
      </c>
      <c r="T27" s="1051"/>
      <c r="U27" s="1051"/>
      <c r="V27" s="1051"/>
      <c r="W27" s="626"/>
      <c r="X27" s="1051">
        <f>SUM(X14:Z26)</f>
        <v>0</v>
      </c>
      <c r="Y27" s="1051"/>
      <c r="Z27" s="1051"/>
      <c r="AA27" s="626"/>
      <c r="AB27" s="1052">
        <f>S27-X27</f>
        <v>0</v>
      </c>
      <c r="AC27" s="1052"/>
      <c r="AD27" s="1052"/>
      <c r="AE27" s="1052"/>
      <c r="AF27" s="613"/>
      <c r="AG27" s="613"/>
      <c r="AH27" s="613"/>
      <c r="AI27" s="613"/>
      <c r="AJ27" s="613"/>
      <c r="AK27" s="613"/>
      <c r="AL27" s="613"/>
      <c r="AM27" s="613"/>
    </row>
    <row r="28" spans="1:43" ht="13.8" thickTop="1" x14ac:dyDescent="0.25">
      <c r="A28" s="627"/>
      <c r="B28" s="626"/>
      <c r="C28" s="629"/>
      <c r="D28" s="629"/>
      <c r="E28" s="629"/>
      <c r="F28" s="629"/>
      <c r="G28" s="626"/>
      <c r="H28" s="629"/>
      <c r="I28" s="629"/>
      <c r="J28" s="629"/>
      <c r="K28" s="626"/>
      <c r="L28" s="629"/>
      <c r="M28" s="629"/>
      <c r="N28" s="629"/>
      <c r="O28" s="629"/>
      <c r="P28" s="618"/>
      <c r="Q28" s="627"/>
      <c r="R28" s="626"/>
      <c r="S28" s="629"/>
      <c r="T28" s="629"/>
      <c r="U28" s="629"/>
      <c r="V28" s="629"/>
      <c r="W28" s="626"/>
      <c r="X28" s="629"/>
      <c r="Y28" s="629"/>
      <c r="Z28" s="629"/>
      <c r="AA28" s="626"/>
      <c r="AB28" s="629"/>
      <c r="AC28" s="629"/>
      <c r="AD28" s="629"/>
      <c r="AE28" s="629"/>
      <c r="AF28" s="613"/>
      <c r="AG28" s="613"/>
      <c r="AH28" s="613"/>
      <c r="AI28" s="613"/>
      <c r="AJ28" s="613"/>
      <c r="AK28" s="613"/>
      <c r="AL28" s="613"/>
      <c r="AM28" s="613"/>
    </row>
    <row r="29" spans="1:43" x14ac:dyDescent="0.25">
      <c r="A29" s="627"/>
      <c r="B29" s="626"/>
      <c r="C29" s="629"/>
      <c r="D29" s="629"/>
      <c r="E29" s="629"/>
      <c r="F29" s="629"/>
      <c r="G29" s="626"/>
      <c r="H29" s="629"/>
      <c r="I29" s="629"/>
      <c r="J29" s="629"/>
      <c r="K29" s="626"/>
      <c r="L29" s="629"/>
      <c r="M29" s="629"/>
      <c r="N29" s="629"/>
      <c r="O29" s="629"/>
      <c r="P29" s="618"/>
      <c r="Q29" s="627"/>
      <c r="R29" s="626"/>
      <c r="S29" s="629"/>
      <c r="T29" s="629"/>
      <c r="U29" s="629"/>
      <c r="V29" s="629"/>
      <c r="W29" s="626"/>
      <c r="X29" s="629"/>
      <c r="Y29" s="629"/>
      <c r="Z29" s="629"/>
      <c r="AA29" s="626"/>
      <c r="AB29" s="629"/>
      <c r="AC29" s="629"/>
      <c r="AD29" s="629"/>
      <c r="AE29" s="629"/>
      <c r="AF29" s="613"/>
      <c r="AG29" s="613"/>
      <c r="AH29" s="613"/>
      <c r="AI29" s="613"/>
      <c r="AJ29" s="613"/>
      <c r="AK29" s="613"/>
      <c r="AL29" s="613"/>
      <c r="AM29" s="613"/>
    </row>
    <row r="30" spans="1:43" x14ac:dyDescent="0.25">
      <c r="A30" s="1060" t="s">
        <v>657</v>
      </c>
      <c r="B30" s="1060"/>
      <c r="C30" s="1060"/>
      <c r="D30" s="1060"/>
      <c r="E30" s="1061"/>
      <c r="F30" s="1061"/>
      <c r="G30" s="1061"/>
      <c r="H30" s="1061"/>
      <c r="I30" s="1061"/>
      <c r="J30" s="1061"/>
      <c r="K30" s="1061"/>
      <c r="L30" s="1061"/>
      <c r="M30" s="1061"/>
      <c r="N30" s="1061"/>
      <c r="O30" s="1061"/>
      <c r="P30" s="615"/>
      <c r="Q30" s="1060" t="s">
        <v>657</v>
      </c>
      <c r="R30" s="1060"/>
      <c r="S30" s="1060"/>
      <c r="T30" s="1060"/>
      <c r="U30" s="1061"/>
      <c r="V30" s="1061"/>
      <c r="W30" s="1061"/>
      <c r="X30" s="1061"/>
      <c r="Y30" s="1061"/>
      <c r="Z30" s="1061"/>
      <c r="AA30" s="1061"/>
      <c r="AB30" s="1061"/>
      <c r="AC30" s="1061"/>
      <c r="AD30" s="1061"/>
      <c r="AE30" s="615"/>
      <c r="AF30" s="613"/>
      <c r="AG30" s="613"/>
      <c r="AH30" s="613"/>
      <c r="AI30" s="613"/>
      <c r="AJ30" s="613"/>
      <c r="AK30" s="613"/>
      <c r="AL30" s="613"/>
      <c r="AM30" s="613"/>
    </row>
    <row r="31" spans="1:43" ht="12" customHeight="1" x14ac:dyDescent="0.25">
      <c r="A31" s="630"/>
      <c r="B31" s="630"/>
      <c r="C31" s="631"/>
      <c r="D31" s="631"/>
      <c r="E31" s="616"/>
      <c r="F31" s="616"/>
      <c r="G31" s="616"/>
      <c r="H31" s="616"/>
      <c r="I31" s="616"/>
      <c r="J31" s="616"/>
      <c r="K31" s="616"/>
      <c r="L31" s="616"/>
      <c r="M31" s="616"/>
      <c r="N31" s="616"/>
      <c r="O31" s="616"/>
      <c r="P31" s="615"/>
      <c r="Q31" s="630"/>
      <c r="R31" s="630"/>
      <c r="S31" s="631"/>
      <c r="T31" s="631"/>
      <c r="U31" s="615"/>
      <c r="V31" s="616"/>
      <c r="W31" s="616"/>
      <c r="X31" s="616"/>
      <c r="Y31" s="616"/>
      <c r="Z31" s="616"/>
      <c r="AA31" s="616"/>
      <c r="AB31" s="616"/>
      <c r="AC31" s="616"/>
      <c r="AD31" s="616"/>
      <c r="AE31" s="615"/>
      <c r="AF31" s="613"/>
      <c r="AG31" s="613"/>
      <c r="AH31" s="613"/>
      <c r="AI31" s="613"/>
      <c r="AJ31" s="613"/>
      <c r="AK31" s="613"/>
      <c r="AL31" s="613"/>
      <c r="AM31" s="613"/>
    </row>
    <row r="32" spans="1:43" x14ac:dyDescent="0.25">
      <c r="A32" s="1060" t="s">
        <v>658</v>
      </c>
      <c r="B32" s="1060"/>
      <c r="C32" s="1060"/>
      <c r="D32" s="1060"/>
      <c r="E32" s="1061"/>
      <c r="F32" s="1061"/>
      <c r="G32" s="1061"/>
      <c r="H32" s="1061"/>
      <c r="I32" s="1061"/>
      <c r="J32" s="1061"/>
      <c r="K32" s="1061"/>
      <c r="L32" s="1061"/>
      <c r="M32" s="1061"/>
      <c r="N32" s="1061"/>
      <c r="O32" s="1061"/>
      <c r="P32" s="615"/>
      <c r="Q32" s="1060" t="s">
        <v>658</v>
      </c>
      <c r="R32" s="1060"/>
      <c r="S32" s="1060"/>
      <c r="T32" s="1060"/>
      <c r="U32" s="1062"/>
      <c r="V32" s="1062"/>
      <c r="W32" s="1062"/>
      <c r="X32" s="1062"/>
      <c r="Y32" s="1062"/>
      <c r="Z32" s="1062"/>
      <c r="AA32" s="1062"/>
      <c r="AB32" s="1062"/>
      <c r="AC32" s="1062"/>
      <c r="AD32" s="1062"/>
      <c r="AF32" s="613"/>
      <c r="AG32" s="613"/>
      <c r="AH32" s="613"/>
      <c r="AI32" s="613"/>
      <c r="AJ32" s="613"/>
      <c r="AK32" s="613"/>
      <c r="AL32" s="613"/>
      <c r="AM32" s="613"/>
    </row>
    <row r="33" spans="1:43" ht="12.75" customHeight="1" x14ac:dyDescent="0.25">
      <c r="A33" s="615"/>
      <c r="B33" s="615"/>
      <c r="C33" s="616"/>
      <c r="D33" s="616"/>
      <c r="E33" s="631"/>
      <c r="F33" s="631"/>
      <c r="G33" s="631"/>
      <c r="H33" s="631"/>
      <c r="I33" s="631"/>
      <c r="J33" s="631"/>
      <c r="K33" s="631"/>
      <c r="L33" s="631"/>
      <c r="M33" s="631"/>
      <c r="N33" s="631"/>
      <c r="O33" s="631"/>
      <c r="P33" s="615"/>
      <c r="Q33" s="615"/>
      <c r="R33" s="615"/>
      <c r="S33" s="616"/>
      <c r="T33" s="616"/>
      <c r="U33" s="632"/>
      <c r="V33" s="632"/>
      <c r="W33" s="632"/>
      <c r="X33" s="632"/>
      <c r="Y33" s="632"/>
      <c r="Z33" s="632"/>
      <c r="AA33" s="632"/>
      <c r="AB33" s="632"/>
      <c r="AC33" s="632"/>
      <c r="AD33" s="632"/>
      <c r="AE33" s="618"/>
      <c r="AF33" s="613"/>
      <c r="AG33" s="613"/>
      <c r="AH33" s="613"/>
      <c r="AI33" s="613"/>
      <c r="AJ33" s="613"/>
      <c r="AK33" s="613"/>
      <c r="AL33" s="613"/>
      <c r="AM33" s="613"/>
    </row>
    <row r="34" spans="1:43" ht="24" customHeight="1" x14ac:dyDescent="0.25">
      <c r="A34" s="622" t="s">
        <v>659</v>
      </c>
      <c r="B34" s="623"/>
      <c r="C34" s="1059" t="s">
        <v>665</v>
      </c>
      <c r="D34" s="1059"/>
      <c r="E34" s="1059"/>
      <c r="F34" s="1059"/>
      <c r="G34" s="623"/>
      <c r="H34" s="1059" t="s">
        <v>574</v>
      </c>
      <c r="I34" s="1059"/>
      <c r="J34" s="1059"/>
      <c r="K34" s="623"/>
      <c r="L34" s="1059" t="s">
        <v>660</v>
      </c>
      <c r="M34" s="1059"/>
      <c r="N34" s="1059"/>
      <c r="O34" s="1059"/>
      <c r="P34" s="617"/>
      <c r="Q34" s="622" t="s">
        <v>659</v>
      </c>
      <c r="R34" s="623"/>
      <c r="S34" s="1059" t="s">
        <v>665</v>
      </c>
      <c r="T34" s="1059"/>
      <c r="U34" s="1059"/>
      <c r="V34" s="1059"/>
      <c r="W34" s="623"/>
      <c r="X34" s="1059" t="s">
        <v>574</v>
      </c>
      <c r="Y34" s="1059"/>
      <c r="Z34" s="1059"/>
      <c r="AA34" s="623"/>
      <c r="AB34" s="1059" t="s">
        <v>660</v>
      </c>
      <c r="AC34" s="1059"/>
      <c r="AD34" s="1059"/>
      <c r="AE34" s="1059"/>
      <c r="AF34" s="613"/>
      <c r="AG34" s="613"/>
      <c r="AH34" s="613"/>
      <c r="AI34" s="613"/>
      <c r="AJ34" s="613"/>
      <c r="AK34" s="613"/>
      <c r="AL34" s="613"/>
      <c r="AM34" s="613"/>
    </row>
    <row r="35" spans="1:43" x14ac:dyDescent="0.25">
      <c r="A35" s="624"/>
      <c r="B35" s="624"/>
      <c r="C35" s="624"/>
      <c r="D35" s="624"/>
      <c r="E35" s="624"/>
      <c r="F35" s="618"/>
      <c r="G35" s="624"/>
      <c r="H35" s="624"/>
      <c r="I35" s="624"/>
      <c r="J35" s="618"/>
      <c r="K35" s="624"/>
      <c r="L35" s="624"/>
      <c r="M35" s="624"/>
      <c r="N35" s="624"/>
      <c r="O35" s="618"/>
      <c r="P35" s="624"/>
      <c r="Q35" s="624"/>
      <c r="R35" s="624"/>
      <c r="S35" s="624"/>
      <c r="T35" s="624"/>
      <c r="U35" s="624"/>
      <c r="V35" s="618"/>
      <c r="W35" s="624"/>
      <c r="X35" s="624"/>
      <c r="Y35" s="624"/>
      <c r="Z35" s="618"/>
      <c r="AA35" s="624"/>
      <c r="AB35" s="624"/>
      <c r="AC35" s="624"/>
      <c r="AD35" s="624"/>
      <c r="AE35" s="618"/>
      <c r="AF35" s="613"/>
      <c r="AG35" s="613"/>
      <c r="AH35" s="613"/>
      <c r="AI35" s="613"/>
      <c r="AJ35" s="613"/>
      <c r="AK35" s="613"/>
      <c r="AL35" s="613"/>
      <c r="AM35" s="613"/>
    </row>
    <row r="36" spans="1:43" ht="18.600000000000001" customHeight="1" x14ac:dyDescent="0.25">
      <c r="A36" s="625">
        <f>A14</f>
        <v>45108</v>
      </c>
      <c r="B36" s="626"/>
      <c r="C36" s="1053">
        <f t="shared" ref="C36:C47" si="7">IF(AND(AP36&gt;0),(H36+60+AP36),0)</f>
        <v>617.42000000000007</v>
      </c>
      <c r="D36" s="1053"/>
      <c r="E36" s="1053"/>
      <c r="F36" s="1053"/>
      <c r="G36" s="626"/>
      <c r="H36" s="1056">
        <v>5.22</v>
      </c>
      <c r="I36" s="1057"/>
      <c r="J36" s="1058"/>
      <c r="K36" s="626"/>
      <c r="L36" s="1055">
        <f>C36-H36</f>
        <v>612.20000000000005</v>
      </c>
      <c r="M36" s="1055"/>
      <c r="N36" s="1055"/>
      <c r="O36" s="1055"/>
      <c r="P36" s="627"/>
      <c r="Q36" s="625">
        <f>A14</f>
        <v>45108</v>
      </c>
      <c r="R36" s="626"/>
      <c r="S36" s="1053">
        <f t="shared" ref="S36:S47" si="8">IF(AND(AQ36&gt;0),(X36+60+AQ36),0)</f>
        <v>617.42000000000007</v>
      </c>
      <c r="T36" s="1053"/>
      <c r="U36" s="1053"/>
      <c r="V36" s="1053"/>
      <c r="W36" s="626"/>
      <c r="X36" s="1056">
        <v>5.22</v>
      </c>
      <c r="Y36" s="1057"/>
      <c r="Z36" s="1058"/>
      <c r="AA36" s="626"/>
      <c r="AB36" s="1055">
        <f>S36-X36</f>
        <v>612.20000000000005</v>
      </c>
      <c r="AC36" s="1055"/>
      <c r="AD36" s="1055"/>
      <c r="AE36" s="1055"/>
      <c r="AF36" s="613"/>
      <c r="AG36" s="613"/>
      <c r="AH36" s="613"/>
      <c r="AI36" s="613"/>
      <c r="AJ36" s="613"/>
      <c r="AK36" s="613"/>
      <c r="AL36" s="613"/>
      <c r="AM36" s="613"/>
      <c r="AP36" s="612">
        <f t="shared" ref="AP36:AP47" si="9">IF(AND(H36&gt;0,H36&lt;1950),(H36/10%)+500,0)+IF(AND(H36&gt;=1950,H36&lt;999999999999999),(H36/5%)+20000,0)</f>
        <v>552.20000000000005</v>
      </c>
      <c r="AQ36" s="612">
        <f t="shared" ref="AQ36:AQ47" si="10">IF(AND(X36&gt;0,X36&lt;1950),(X36/10%)+500,0)+IF(AND(X36&gt;=1950,X36&lt;999999999999999),(X36/5%)+20000,0)</f>
        <v>552.20000000000005</v>
      </c>
    </row>
    <row r="37" spans="1:43" ht="18.600000000000001" customHeight="1" x14ac:dyDescent="0.25">
      <c r="A37" s="625">
        <f t="shared" ref="A37:A47" si="11">A15</f>
        <v>45139</v>
      </c>
      <c r="B37" s="626"/>
      <c r="C37" s="1053">
        <f t="shared" si="7"/>
        <v>0</v>
      </c>
      <c r="D37" s="1053"/>
      <c r="E37" s="1053"/>
      <c r="F37" s="1053"/>
      <c r="G37" s="626"/>
      <c r="H37" s="1054"/>
      <c r="I37" s="1054"/>
      <c r="J37" s="1054"/>
      <c r="K37" s="626"/>
      <c r="L37" s="1055">
        <f t="shared" ref="L37:L47" si="12">C37-H37</f>
        <v>0</v>
      </c>
      <c r="M37" s="1055"/>
      <c r="N37" s="1055"/>
      <c r="O37" s="1055"/>
      <c r="P37" s="627"/>
      <c r="Q37" s="625">
        <f t="shared" ref="Q37:Q47" si="13">A15</f>
        <v>45139</v>
      </c>
      <c r="R37" s="626"/>
      <c r="S37" s="1053">
        <f t="shared" si="8"/>
        <v>0</v>
      </c>
      <c r="T37" s="1053"/>
      <c r="U37" s="1053"/>
      <c r="V37" s="1053"/>
      <c r="W37" s="626"/>
      <c r="X37" s="1054"/>
      <c r="Y37" s="1054"/>
      <c r="Z37" s="1054"/>
      <c r="AA37" s="626"/>
      <c r="AB37" s="1055">
        <f t="shared" ref="AB37:AB47" si="14">S37-X37</f>
        <v>0</v>
      </c>
      <c r="AC37" s="1055"/>
      <c r="AD37" s="1055"/>
      <c r="AE37" s="1055"/>
      <c r="AF37" s="613"/>
      <c r="AG37" s="613"/>
      <c r="AH37" s="613"/>
      <c r="AI37" s="613"/>
      <c r="AJ37" s="613"/>
      <c r="AK37" s="613"/>
      <c r="AL37" s="613"/>
      <c r="AM37" s="613"/>
      <c r="AP37" s="612">
        <f t="shared" si="9"/>
        <v>0</v>
      </c>
      <c r="AQ37" s="612">
        <f t="shared" si="10"/>
        <v>0</v>
      </c>
    </row>
    <row r="38" spans="1:43" ht="18.600000000000001" customHeight="1" x14ac:dyDescent="0.25">
      <c r="A38" s="625">
        <f t="shared" si="11"/>
        <v>45170</v>
      </c>
      <c r="B38" s="626"/>
      <c r="C38" s="1053">
        <f t="shared" si="7"/>
        <v>0</v>
      </c>
      <c r="D38" s="1053"/>
      <c r="E38" s="1053"/>
      <c r="F38" s="1053"/>
      <c r="G38" s="626"/>
      <c r="H38" s="1054"/>
      <c r="I38" s="1054"/>
      <c r="J38" s="1054"/>
      <c r="K38" s="626"/>
      <c r="L38" s="1055">
        <f t="shared" si="12"/>
        <v>0</v>
      </c>
      <c r="M38" s="1055"/>
      <c r="N38" s="1055"/>
      <c r="O38" s="1055"/>
      <c r="P38" s="627"/>
      <c r="Q38" s="625">
        <f t="shared" si="13"/>
        <v>45170</v>
      </c>
      <c r="R38" s="626"/>
      <c r="S38" s="1053">
        <f t="shared" si="8"/>
        <v>0</v>
      </c>
      <c r="T38" s="1053"/>
      <c r="U38" s="1053"/>
      <c r="V38" s="1053"/>
      <c r="W38" s="626"/>
      <c r="X38" s="1054"/>
      <c r="Y38" s="1054"/>
      <c r="Z38" s="1054"/>
      <c r="AA38" s="626"/>
      <c r="AB38" s="1055">
        <f t="shared" si="14"/>
        <v>0</v>
      </c>
      <c r="AC38" s="1055"/>
      <c r="AD38" s="1055"/>
      <c r="AE38" s="1055"/>
      <c r="AF38" s="613"/>
      <c r="AG38" s="613"/>
      <c r="AH38" s="613"/>
      <c r="AI38" s="613"/>
      <c r="AJ38" s="613"/>
      <c r="AK38" s="613"/>
      <c r="AL38" s="613"/>
      <c r="AM38" s="613"/>
      <c r="AP38" s="612">
        <f t="shared" si="9"/>
        <v>0</v>
      </c>
      <c r="AQ38" s="612">
        <f t="shared" si="10"/>
        <v>0</v>
      </c>
    </row>
    <row r="39" spans="1:43" ht="18.600000000000001" customHeight="1" x14ac:dyDescent="0.25">
      <c r="A39" s="625">
        <f t="shared" si="11"/>
        <v>45200</v>
      </c>
      <c r="B39" s="626"/>
      <c r="C39" s="1053">
        <f t="shared" si="7"/>
        <v>0</v>
      </c>
      <c r="D39" s="1053"/>
      <c r="E39" s="1053"/>
      <c r="F39" s="1053"/>
      <c r="G39" s="626"/>
      <c r="H39" s="1054"/>
      <c r="I39" s="1054"/>
      <c r="J39" s="1054"/>
      <c r="K39" s="626"/>
      <c r="L39" s="1055">
        <f t="shared" si="12"/>
        <v>0</v>
      </c>
      <c r="M39" s="1055"/>
      <c r="N39" s="1055"/>
      <c r="O39" s="1055"/>
      <c r="P39" s="627"/>
      <c r="Q39" s="625">
        <f t="shared" si="13"/>
        <v>45200</v>
      </c>
      <c r="R39" s="626"/>
      <c r="S39" s="1053">
        <f t="shared" si="8"/>
        <v>0</v>
      </c>
      <c r="T39" s="1053"/>
      <c r="U39" s="1053"/>
      <c r="V39" s="1053"/>
      <c r="W39" s="626"/>
      <c r="X39" s="1054"/>
      <c r="Y39" s="1054"/>
      <c r="Z39" s="1054"/>
      <c r="AA39" s="626"/>
      <c r="AB39" s="1055">
        <f t="shared" si="14"/>
        <v>0</v>
      </c>
      <c r="AC39" s="1055"/>
      <c r="AD39" s="1055"/>
      <c r="AE39" s="1055"/>
      <c r="AF39" s="613"/>
      <c r="AG39" s="613"/>
      <c r="AH39" s="613"/>
      <c r="AI39" s="613"/>
      <c r="AJ39" s="613"/>
      <c r="AK39" s="613"/>
      <c r="AL39" s="613"/>
      <c r="AM39" s="613"/>
      <c r="AP39" s="612">
        <f t="shared" si="9"/>
        <v>0</v>
      </c>
      <c r="AQ39" s="612">
        <f t="shared" si="10"/>
        <v>0</v>
      </c>
    </row>
    <row r="40" spans="1:43" ht="18.600000000000001" customHeight="1" x14ac:dyDescent="0.25">
      <c r="A40" s="625">
        <f t="shared" si="11"/>
        <v>45231</v>
      </c>
      <c r="B40" s="626"/>
      <c r="C40" s="1053">
        <f t="shared" si="7"/>
        <v>0</v>
      </c>
      <c r="D40" s="1053"/>
      <c r="E40" s="1053"/>
      <c r="F40" s="1053"/>
      <c r="G40" s="626"/>
      <c r="H40" s="1054"/>
      <c r="I40" s="1054"/>
      <c r="J40" s="1054"/>
      <c r="K40" s="626"/>
      <c r="L40" s="1055">
        <f t="shared" si="12"/>
        <v>0</v>
      </c>
      <c r="M40" s="1055"/>
      <c r="N40" s="1055"/>
      <c r="O40" s="1055"/>
      <c r="P40" s="627"/>
      <c r="Q40" s="625">
        <f t="shared" si="13"/>
        <v>45231</v>
      </c>
      <c r="R40" s="626"/>
      <c r="S40" s="1053">
        <f t="shared" si="8"/>
        <v>0</v>
      </c>
      <c r="T40" s="1053"/>
      <c r="U40" s="1053"/>
      <c r="V40" s="1053"/>
      <c r="W40" s="626"/>
      <c r="X40" s="1054"/>
      <c r="Y40" s="1054"/>
      <c r="Z40" s="1054"/>
      <c r="AA40" s="626"/>
      <c r="AB40" s="1055">
        <f t="shared" si="14"/>
        <v>0</v>
      </c>
      <c r="AC40" s="1055"/>
      <c r="AD40" s="1055"/>
      <c r="AE40" s="1055"/>
      <c r="AF40" s="613"/>
      <c r="AG40" s="613"/>
      <c r="AH40" s="613"/>
      <c r="AI40" s="613"/>
      <c r="AJ40" s="613"/>
      <c r="AK40" s="613"/>
      <c r="AL40" s="613"/>
      <c r="AM40" s="613"/>
      <c r="AP40" s="612">
        <f t="shared" si="9"/>
        <v>0</v>
      </c>
      <c r="AQ40" s="612">
        <f t="shared" si="10"/>
        <v>0</v>
      </c>
    </row>
    <row r="41" spans="1:43" ht="18.600000000000001" customHeight="1" x14ac:dyDescent="0.25">
      <c r="A41" s="625">
        <f t="shared" si="11"/>
        <v>45261</v>
      </c>
      <c r="B41" s="626"/>
      <c r="C41" s="1053">
        <f t="shared" si="7"/>
        <v>0</v>
      </c>
      <c r="D41" s="1053"/>
      <c r="E41" s="1053"/>
      <c r="F41" s="1053"/>
      <c r="G41" s="626"/>
      <c r="H41" s="1054"/>
      <c r="I41" s="1054"/>
      <c r="J41" s="1054"/>
      <c r="K41" s="626"/>
      <c r="L41" s="1055">
        <f t="shared" si="12"/>
        <v>0</v>
      </c>
      <c r="M41" s="1055"/>
      <c r="N41" s="1055"/>
      <c r="O41" s="1055"/>
      <c r="P41" s="627"/>
      <c r="Q41" s="625">
        <f t="shared" si="13"/>
        <v>45261</v>
      </c>
      <c r="R41" s="626"/>
      <c r="S41" s="1053">
        <f t="shared" si="8"/>
        <v>0</v>
      </c>
      <c r="T41" s="1053"/>
      <c r="U41" s="1053"/>
      <c r="V41" s="1053"/>
      <c r="W41" s="626"/>
      <c r="X41" s="1054"/>
      <c r="Y41" s="1054"/>
      <c r="Z41" s="1054"/>
      <c r="AA41" s="626"/>
      <c r="AB41" s="1055">
        <f t="shared" si="14"/>
        <v>0</v>
      </c>
      <c r="AC41" s="1055"/>
      <c r="AD41" s="1055"/>
      <c r="AE41" s="1055"/>
      <c r="AF41" s="613"/>
      <c r="AG41" s="613"/>
      <c r="AH41" s="613"/>
      <c r="AI41" s="613"/>
      <c r="AJ41" s="613"/>
      <c r="AK41" s="613"/>
      <c r="AL41" s="613"/>
      <c r="AM41" s="613"/>
      <c r="AP41" s="612">
        <f t="shared" si="9"/>
        <v>0</v>
      </c>
      <c r="AQ41" s="612">
        <f t="shared" si="10"/>
        <v>0</v>
      </c>
    </row>
    <row r="42" spans="1:43" ht="18.600000000000001" customHeight="1" x14ac:dyDescent="0.25">
      <c r="A42" s="625">
        <f t="shared" si="11"/>
        <v>45292</v>
      </c>
      <c r="B42" s="626"/>
      <c r="C42" s="1053">
        <f t="shared" si="7"/>
        <v>0</v>
      </c>
      <c r="D42" s="1053"/>
      <c r="E42" s="1053"/>
      <c r="F42" s="1053"/>
      <c r="G42" s="626"/>
      <c r="H42" s="1054"/>
      <c r="I42" s="1054"/>
      <c r="J42" s="1054"/>
      <c r="K42" s="626"/>
      <c r="L42" s="1055">
        <f t="shared" si="12"/>
        <v>0</v>
      </c>
      <c r="M42" s="1055"/>
      <c r="N42" s="1055"/>
      <c r="O42" s="1055"/>
      <c r="P42" s="627"/>
      <c r="Q42" s="625">
        <f t="shared" si="13"/>
        <v>45292</v>
      </c>
      <c r="R42" s="626"/>
      <c r="S42" s="1053">
        <f t="shared" si="8"/>
        <v>0</v>
      </c>
      <c r="T42" s="1053"/>
      <c r="U42" s="1053"/>
      <c r="V42" s="1053"/>
      <c r="W42" s="626"/>
      <c r="X42" s="1054"/>
      <c r="Y42" s="1054"/>
      <c r="Z42" s="1054"/>
      <c r="AA42" s="626"/>
      <c r="AB42" s="1055">
        <f t="shared" si="14"/>
        <v>0</v>
      </c>
      <c r="AC42" s="1055"/>
      <c r="AD42" s="1055"/>
      <c r="AE42" s="1055"/>
      <c r="AF42" s="613"/>
      <c r="AG42" s="613"/>
      <c r="AH42" s="613"/>
      <c r="AI42" s="613"/>
      <c r="AJ42" s="613"/>
      <c r="AK42" s="613"/>
      <c r="AL42" s="613"/>
      <c r="AM42" s="613"/>
      <c r="AP42" s="612">
        <f t="shared" si="9"/>
        <v>0</v>
      </c>
      <c r="AQ42" s="612">
        <f t="shared" si="10"/>
        <v>0</v>
      </c>
    </row>
    <row r="43" spans="1:43" ht="18.600000000000001" customHeight="1" x14ac:dyDescent="0.25">
      <c r="A43" s="625">
        <f t="shared" si="11"/>
        <v>45323</v>
      </c>
      <c r="B43" s="626"/>
      <c r="C43" s="1053">
        <f t="shared" si="7"/>
        <v>0</v>
      </c>
      <c r="D43" s="1053"/>
      <c r="E43" s="1053"/>
      <c r="F43" s="1053"/>
      <c r="G43" s="626"/>
      <c r="H43" s="1054"/>
      <c r="I43" s="1054"/>
      <c r="J43" s="1054"/>
      <c r="K43" s="626"/>
      <c r="L43" s="1055">
        <f t="shared" si="12"/>
        <v>0</v>
      </c>
      <c r="M43" s="1055"/>
      <c r="N43" s="1055"/>
      <c r="O43" s="1055"/>
      <c r="P43" s="627"/>
      <c r="Q43" s="625">
        <f t="shared" si="13"/>
        <v>45323</v>
      </c>
      <c r="R43" s="626"/>
      <c r="S43" s="1053">
        <f t="shared" si="8"/>
        <v>0</v>
      </c>
      <c r="T43" s="1053"/>
      <c r="U43" s="1053"/>
      <c r="V43" s="1053"/>
      <c r="W43" s="626"/>
      <c r="X43" s="1054"/>
      <c r="Y43" s="1054"/>
      <c r="Z43" s="1054"/>
      <c r="AA43" s="626"/>
      <c r="AB43" s="1055">
        <f t="shared" si="14"/>
        <v>0</v>
      </c>
      <c r="AC43" s="1055"/>
      <c r="AD43" s="1055"/>
      <c r="AE43" s="1055"/>
      <c r="AF43" s="613"/>
      <c r="AG43" s="613"/>
      <c r="AH43" s="613"/>
      <c r="AI43" s="613"/>
      <c r="AJ43" s="613"/>
      <c r="AK43" s="613"/>
      <c r="AL43" s="613"/>
      <c r="AM43" s="613"/>
      <c r="AP43" s="612">
        <f t="shared" si="9"/>
        <v>0</v>
      </c>
      <c r="AQ43" s="612">
        <f t="shared" si="10"/>
        <v>0</v>
      </c>
    </row>
    <row r="44" spans="1:43" ht="18.600000000000001" customHeight="1" x14ac:dyDescent="0.25">
      <c r="A44" s="625">
        <f t="shared" si="11"/>
        <v>45352</v>
      </c>
      <c r="B44" s="626"/>
      <c r="C44" s="1053">
        <f t="shared" si="7"/>
        <v>0</v>
      </c>
      <c r="D44" s="1053"/>
      <c r="E44" s="1053"/>
      <c r="F44" s="1053"/>
      <c r="G44" s="626"/>
      <c r="H44" s="1054"/>
      <c r="I44" s="1054"/>
      <c r="J44" s="1054"/>
      <c r="K44" s="626"/>
      <c r="L44" s="1055">
        <f t="shared" si="12"/>
        <v>0</v>
      </c>
      <c r="M44" s="1055"/>
      <c r="N44" s="1055"/>
      <c r="O44" s="1055"/>
      <c r="P44" s="627"/>
      <c r="Q44" s="625">
        <f t="shared" si="13"/>
        <v>45352</v>
      </c>
      <c r="R44" s="626"/>
      <c r="S44" s="1053">
        <f t="shared" si="8"/>
        <v>0</v>
      </c>
      <c r="T44" s="1053"/>
      <c r="U44" s="1053"/>
      <c r="V44" s="1053"/>
      <c r="W44" s="626"/>
      <c r="X44" s="1054"/>
      <c r="Y44" s="1054"/>
      <c r="Z44" s="1054"/>
      <c r="AA44" s="626"/>
      <c r="AB44" s="1055">
        <f t="shared" si="14"/>
        <v>0</v>
      </c>
      <c r="AC44" s="1055"/>
      <c r="AD44" s="1055"/>
      <c r="AE44" s="1055"/>
      <c r="AF44" s="613"/>
      <c r="AG44" s="613"/>
      <c r="AH44" s="613"/>
      <c r="AI44" s="613"/>
      <c r="AJ44" s="613"/>
      <c r="AK44" s="613"/>
      <c r="AL44" s="613"/>
      <c r="AM44" s="613"/>
      <c r="AP44" s="612">
        <f t="shared" si="9"/>
        <v>0</v>
      </c>
      <c r="AQ44" s="612">
        <f t="shared" si="10"/>
        <v>0</v>
      </c>
    </row>
    <row r="45" spans="1:43" ht="18.600000000000001" customHeight="1" x14ac:dyDescent="0.25">
      <c r="A45" s="625">
        <f t="shared" si="11"/>
        <v>45383</v>
      </c>
      <c r="B45" s="626"/>
      <c r="C45" s="1053">
        <f t="shared" si="7"/>
        <v>0</v>
      </c>
      <c r="D45" s="1053"/>
      <c r="E45" s="1053"/>
      <c r="F45" s="1053"/>
      <c r="G45" s="626"/>
      <c r="H45" s="1054"/>
      <c r="I45" s="1054"/>
      <c r="J45" s="1054"/>
      <c r="K45" s="626"/>
      <c r="L45" s="1055">
        <f t="shared" si="12"/>
        <v>0</v>
      </c>
      <c r="M45" s="1055"/>
      <c r="N45" s="1055"/>
      <c r="O45" s="1055"/>
      <c r="P45" s="627"/>
      <c r="Q45" s="625">
        <f t="shared" si="13"/>
        <v>45383</v>
      </c>
      <c r="R45" s="626"/>
      <c r="S45" s="1053">
        <f t="shared" si="8"/>
        <v>0</v>
      </c>
      <c r="T45" s="1053"/>
      <c r="U45" s="1053"/>
      <c r="V45" s="1053"/>
      <c r="W45" s="626"/>
      <c r="X45" s="1054"/>
      <c r="Y45" s="1054"/>
      <c r="Z45" s="1054"/>
      <c r="AA45" s="626"/>
      <c r="AB45" s="1055">
        <f t="shared" si="14"/>
        <v>0</v>
      </c>
      <c r="AC45" s="1055"/>
      <c r="AD45" s="1055"/>
      <c r="AE45" s="1055"/>
      <c r="AF45" s="613"/>
      <c r="AG45" s="613"/>
      <c r="AH45" s="613"/>
      <c r="AI45" s="613"/>
      <c r="AJ45" s="613"/>
      <c r="AK45" s="613"/>
      <c r="AL45" s="613"/>
      <c r="AM45" s="613"/>
      <c r="AP45" s="612">
        <f t="shared" si="9"/>
        <v>0</v>
      </c>
      <c r="AQ45" s="612">
        <f t="shared" si="10"/>
        <v>0</v>
      </c>
    </row>
    <row r="46" spans="1:43" ht="18.600000000000001" customHeight="1" x14ac:dyDescent="0.25">
      <c r="A46" s="625">
        <f t="shared" si="11"/>
        <v>45413</v>
      </c>
      <c r="B46" s="626"/>
      <c r="C46" s="1053">
        <f t="shared" si="7"/>
        <v>0</v>
      </c>
      <c r="D46" s="1053"/>
      <c r="E46" s="1053"/>
      <c r="F46" s="1053"/>
      <c r="G46" s="626"/>
      <c r="H46" s="1054"/>
      <c r="I46" s="1054"/>
      <c r="J46" s="1054"/>
      <c r="K46" s="626"/>
      <c r="L46" s="1055">
        <f t="shared" si="12"/>
        <v>0</v>
      </c>
      <c r="M46" s="1055"/>
      <c r="N46" s="1055"/>
      <c r="O46" s="1055"/>
      <c r="P46" s="627"/>
      <c r="Q46" s="625">
        <f t="shared" si="13"/>
        <v>45413</v>
      </c>
      <c r="R46" s="626"/>
      <c r="S46" s="1053">
        <f t="shared" si="8"/>
        <v>0</v>
      </c>
      <c r="T46" s="1053"/>
      <c r="U46" s="1053"/>
      <c r="V46" s="1053"/>
      <c r="W46" s="626"/>
      <c r="X46" s="1054"/>
      <c r="Y46" s="1054"/>
      <c r="Z46" s="1054"/>
      <c r="AA46" s="626"/>
      <c r="AB46" s="1055">
        <f t="shared" si="14"/>
        <v>0</v>
      </c>
      <c r="AC46" s="1055"/>
      <c r="AD46" s="1055"/>
      <c r="AE46" s="1055"/>
      <c r="AF46" s="613"/>
      <c r="AG46" s="613"/>
      <c r="AH46" s="613"/>
      <c r="AI46" s="613"/>
      <c r="AJ46" s="613"/>
      <c r="AK46" s="613"/>
      <c r="AL46" s="613"/>
      <c r="AM46" s="613"/>
      <c r="AP46" s="612">
        <f t="shared" si="9"/>
        <v>0</v>
      </c>
      <c r="AQ46" s="612">
        <f t="shared" si="10"/>
        <v>0</v>
      </c>
    </row>
    <row r="47" spans="1:43" ht="18.600000000000001" customHeight="1" x14ac:dyDescent="0.25">
      <c r="A47" s="625">
        <f t="shared" si="11"/>
        <v>45444</v>
      </c>
      <c r="B47" s="626"/>
      <c r="C47" s="1053">
        <f t="shared" si="7"/>
        <v>0</v>
      </c>
      <c r="D47" s="1053"/>
      <c r="E47" s="1053"/>
      <c r="F47" s="1053"/>
      <c r="G47" s="626"/>
      <c r="H47" s="1054"/>
      <c r="I47" s="1054"/>
      <c r="J47" s="1054"/>
      <c r="K47" s="626"/>
      <c r="L47" s="1055">
        <f t="shared" si="12"/>
        <v>0</v>
      </c>
      <c r="M47" s="1055"/>
      <c r="N47" s="1055"/>
      <c r="O47" s="1055"/>
      <c r="P47" s="627"/>
      <c r="Q47" s="625">
        <f t="shared" si="13"/>
        <v>45444</v>
      </c>
      <c r="R47" s="626"/>
      <c r="S47" s="1053">
        <f t="shared" si="8"/>
        <v>0</v>
      </c>
      <c r="T47" s="1053"/>
      <c r="U47" s="1053"/>
      <c r="V47" s="1053"/>
      <c r="W47" s="626"/>
      <c r="X47" s="1054"/>
      <c r="Y47" s="1054"/>
      <c r="Z47" s="1054"/>
      <c r="AA47" s="626"/>
      <c r="AB47" s="1055">
        <f t="shared" si="14"/>
        <v>0</v>
      </c>
      <c r="AC47" s="1055"/>
      <c r="AD47" s="1055"/>
      <c r="AE47" s="1055"/>
      <c r="AF47" s="613"/>
      <c r="AG47" s="613"/>
      <c r="AH47" s="613"/>
      <c r="AI47" s="613"/>
      <c r="AJ47" s="613"/>
      <c r="AK47" s="613"/>
      <c r="AL47" s="613"/>
      <c r="AM47" s="613"/>
      <c r="AP47" s="612">
        <f t="shared" si="9"/>
        <v>0</v>
      </c>
      <c r="AQ47" s="612">
        <f t="shared" si="10"/>
        <v>0</v>
      </c>
    </row>
    <row r="48" spans="1:43" x14ac:dyDescent="0.25">
      <c r="A48" s="618"/>
      <c r="B48" s="626"/>
      <c r="C48" s="626"/>
      <c r="D48" s="626"/>
      <c r="E48" s="626"/>
      <c r="F48" s="626"/>
      <c r="G48" s="626"/>
      <c r="H48" s="626"/>
      <c r="I48" s="626"/>
      <c r="J48" s="626"/>
      <c r="K48" s="626"/>
      <c r="L48" s="626"/>
      <c r="M48" s="626"/>
      <c r="N48" s="626"/>
      <c r="O48" s="618"/>
      <c r="P48" s="618"/>
      <c r="Q48" s="618"/>
      <c r="R48" s="626"/>
      <c r="S48" s="626"/>
      <c r="T48" s="626"/>
      <c r="U48" s="626"/>
      <c r="V48" s="626"/>
      <c r="W48" s="626"/>
      <c r="X48" s="626"/>
      <c r="Y48" s="626"/>
      <c r="Z48" s="626"/>
      <c r="AA48" s="626"/>
      <c r="AB48" s="626"/>
      <c r="AC48" s="626"/>
      <c r="AD48" s="626"/>
      <c r="AE48" s="618"/>
      <c r="AF48" s="613"/>
      <c r="AG48" s="613"/>
      <c r="AH48" s="613"/>
      <c r="AI48" s="613"/>
      <c r="AJ48" s="613"/>
      <c r="AK48" s="613"/>
      <c r="AL48" s="613"/>
      <c r="AM48" s="613"/>
      <c r="AP48" s="612">
        <f t="shared" ref="AP48" si="15">IF(AND(H48&gt;0,H48&lt;1950),(H48/10%)+500,0)+IF(AND(H48&gt;=1950,H48&lt;999999999999999),(H48/12%)+20000,0)</f>
        <v>0</v>
      </c>
      <c r="AQ48" s="612">
        <f t="shared" ref="AQ48" si="16">IF(AND(X48&gt;0,X48&lt;1950),(X48/10%)+500,0)+IF(AND(X48&gt;=1950,X48&lt;999999999999999),(X48/12%)+20000,0)</f>
        <v>0</v>
      </c>
    </row>
    <row r="49" spans="1:39" ht="17.25" customHeight="1" thickBot="1" x14ac:dyDescent="0.3">
      <c r="A49" s="627"/>
      <c r="B49" s="626"/>
      <c r="C49" s="1051">
        <f>SUM(C36:F47)</f>
        <v>617.42000000000007</v>
      </c>
      <c r="D49" s="1051"/>
      <c r="E49" s="1051"/>
      <c r="F49" s="1051"/>
      <c r="G49" s="626"/>
      <c r="H49" s="1051">
        <f>SUM(H36:J48)</f>
        <v>5.22</v>
      </c>
      <c r="I49" s="1051"/>
      <c r="J49" s="1051"/>
      <c r="K49" s="626"/>
      <c r="L49" s="1052">
        <f>C49-H49</f>
        <v>612.20000000000005</v>
      </c>
      <c r="M49" s="1052"/>
      <c r="N49" s="1052"/>
      <c r="O49" s="1052"/>
      <c r="P49" s="618"/>
      <c r="Q49" s="627"/>
      <c r="R49" s="626"/>
      <c r="S49" s="1051">
        <f>SUM(S36:V47)</f>
        <v>617.42000000000007</v>
      </c>
      <c r="T49" s="1051"/>
      <c r="U49" s="1051"/>
      <c r="V49" s="1051"/>
      <c r="W49" s="626"/>
      <c r="X49" s="1051">
        <f>SUM(X36:Z48)</f>
        <v>5.22</v>
      </c>
      <c r="Y49" s="1051"/>
      <c r="Z49" s="1051"/>
      <c r="AA49" s="626"/>
      <c r="AB49" s="1052">
        <f>S49-X49</f>
        <v>612.20000000000005</v>
      </c>
      <c r="AC49" s="1052"/>
      <c r="AD49" s="1052"/>
      <c r="AE49" s="1052"/>
      <c r="AF49" s="613"/>
      <c r="AG49" s="613"/>
      <c r="AH49" s="613"/>
      <c r="AI49" s="613"/>
      <c r="AJ49" s="613"/>
      <c r="AK49" s="613"/>
      <c r="AL49" s="613"/>
      <c r="AM49" s="613"/>
    </row>
    <row r="50" spans="1:39" ht="13.8" thickTop="1" x14ac:dyDescent="0.25">
      <c r="A50" s="627"/>
      <c r="B50" s="626"/>
      <c r="C50" s="629"/>
      <c r="D50" s="629"/>
      <c r="E50" s="629"/>
      <c r="F50" s="629"/>
      <c r="G50" s="626"/>
      <c r="H50" s="629"/>
      <c r="I50" s="629"/>
      <c r="J50" s="629"/>
      <c r="K50" s="626"/>
      <c r="L50" s="629"/>
      <c r="M50" s="629"/>
      <c r="N50" s="629"/>
      <c r="O50" s="629"/>
      <c r="P50" s="618"/>
      <c r="Q50" s="627"/>
      <c r="R50" s="626"/>
      <c r="S50" s="629"/>
      <c r="T50" s="629"/>
      <c r="U50" s="629"/>
      <c r="V50" s="629"/>
      <c r="W50" s="626"/>
      <c r="X50" s="629"/>
      <c r="Y50" s="629"/>
      <c r="Z50" s="629"/>
      <c r="AA50" s="626"/>
      <c r="AB50" s="629"/>
      <c r="AC50" s="629"/>
      <c r="AD50" s="629"/>
      <c r="AE50" s="629"/>
      <c r="AF50" s="613"/>
      <c r="AG50" s="613"/>
      <c r="AH50" s="613"/>
      <c r="AI50" s="613"/>
      <c r="AJ50" s="613"/>
      <c r="AK50" s="613"/>
      <c r="AL50" s="613"/>
      <c r="AM50" s="613"/>
    </row>
  </sheetData>
  <mergeCells count="189">
    <mergeCell ref="A2:AE2"/>
    <mergeCell ref="A3:AE3"/>
    <mergeCell ref="A4:AE4"/>
    <mergeCell ref="A5:AE5"/>
    <mergeCell ref="AJ5:AN5"/>
    <mergeCell ref="A8:D8"/>
    <mergeCell ref="E8:O8"/>
    <mergeCell ref="Q8:T8"/>
    <mergeCell ref="U8:AD8"/>
    <mergeCell ref="A10:D10"/>
    <mergeCell ref="E10:O10"/>
    <mergeCell ref="Q10:T10"/>
    <mergeCell ref="U10:AD10"/>
    <mergeCell ref="C12:F12"/>
    <mergeCell ref="H12:J12"/>
    <mergeCell ref="L12:O12"/>
    <mergeCell ref="S12:V12"/>
    <mergeCell ref="X12:Z12"/>
    <mergeCell ref="AB12:AE12"/>
    <mergeCell ref="C15:F15"/>
    <mergeCell ref="H15:J15"/>
    <mergeCell ref="L15:O15"/>
    <mergeCell ref="S15:V15"/>
    <mergeCell ref="X15:Z15"/>
    <mergeCell ref="AB15:AE15"/>
    <mergeCell ref="C14:F14"/>
    <mergeCell ref="H14:J14"/>
    <mergeCell ref="L14:O14"/>
    <mergeCell ref="S14:V14"/>
    <mergeCell ref="X14:Z14"/>
    <mergeCell ref="AB14:AE14"/>
    <mergeCell ref="C17:F17"/>
    <mergeCell ref="H17:J17"/>
    <mergeCell ref="L17:O17"/>
    <mergeCell ref="S17:V17"/>
    <mergeCell ref="X17:Z17"/>
    <mergeCell ref="AB17:AE17"/>
    <mergeCell ref="C16:F16"/>
    <mergeCell ref="H16:J16"/>
    <mergeCell ref="L16:O16"/>
    <mergeCell ref="S16:V16"/>
    <mergeCell ref="X16:Z16"/>
    <mergeCell ref="AB16:AE16"/>
    <mergeCell ref="C19:F19"/>
    <mergeCell ref="H19:J19"/>
    <mergeCell ref="L19:O19"/>
    <mergeCell ref="S19:V19"/>
    <mergeCell ref="X19:Z19"/>
    <mergeCell ref="AB19:AE19"/>
    <mergeCell ref="C18:F18"/>
    <mergeCell ref="H18:J18"/>
    <mergeCell ref="L18:O18"/>
    <mergeCell ref="S18:V18"/>
    <mergeCell ref="X18:Z18"/>
    <mergeCell ref="AB18:AE18"/>
    <mergeCell ref="C21:F21"/>
    <mergeCell ref="H21:J21"/>
    <mergeCell ref="L21:O21"/>
    <mergeCell ref="S21:V21"/>
    <mergeCell ref="X21:Z21"/>
    <mergeCell ref="AB21:AE21"/>
    <mergeCell ref="C20:F20"/>
    <mergeCell ref="H20:J20"/>
    <mergeCell ref="L20:O20"/>
    <mergeCell ref="S20:V20"/>
    <mergeCell ref="X20:Z20"/>
    <mergeCell ref="AB20:AE20"/>
    <mergeCell ref="C23:F23"/>
    <mergeCell ref="H23:J23"/>
    <mergeCell ref="L23:O23"/>
    <mergeCell ref="S23:V23"/>
    <mergeCell ref="X23:Z23"/>
    <mergeCell ref="AB23:AE23"/>
    <mergeCell ref="C22:F22"/>
    <mergeCell ref="H22:J22"/>
    <mergeCell ref="L22:O22"/>
    <mergeCell ref="S22:V22"/>
    <mergeCell ref="X22:Z22"/>
    <mergeCell ref="AB22:AE22"/>
    <mergeCell ref="C25:F25"/>
    <mergeCell ref="H25:J25"/>
    <mergeCell ref="L25:O25"/>
    <mergeCell ref="S25:V25"/>
    <mergeCell ref="X25:Z25"/>
    <mergeCell ref="AB25:AE25"/>
    <mergeCell ref="C24:F24"/>
    <mergeCell ref="H24:J24"/>
    <mergeCell ref="L24:O24"/>
    <mergeCell ref="S24:V24"/>
    <mergeCell ref="X24:Z24"/>
    <mergeCell ref="AB24:AE24"/>
    <mergeCell ref="A30:D30"/>
    <mergeCell ref="E30:O30"/>
    <mergeCell ref="Q30:T30"/>
    <mergeCell ref="U30:AD30"/>
    <mergeCell ref="A32:D32"/>
    <mergeCell ref="E32:O32"/>
    <mergeCell ref="Q32:T32"/>
    <mergeCell ref="U32:AD32"/>
    <mergeCell ref="C27:F27"/>
    <mergeCell ref="H27:J27"/>
    <mergeCell ref="L27:O27"/>
    <mergeCell ref="S27:V27"/>
    <mergeCell ref="X27:Z27"/>
    <mergeCell ref="AB27:AE27"/>
    <mergeCell ref="C36:F36"/>
    <mergeCell ref="H36:J36"/>
    <mergeCell ref="L36:O36"/>
    <mergeCell ref="S36:V36"/>
    <mergeCell ref="X36:Z36"/>
    <mergeCell ref="AB36:AE36"/>
    <mergeCell ref="C34:F34"/>
    <mergeCell ref="H34:J34"/>
    <mergeCell ref="L34:O34"/>
    <mergeCell ref="S34:V34"/>
    <mergeCell ref="X34:Z34"/>
    <mergeCell ref="AB34:AE34"/>
    <mergeCell ref="C38:F38"/>
    <mergeCell ref="H38:J38"/>
    <mergeCell ref="L38:O38"/>
    <mergeCell ref="S38:V38"/>
    <mergeCell ref="X38:Z38"/>
    <mergeCell ref="AB38:AE38"/>
    <mergeCell ref="C37:F37"/>
    <mergeCell ref="H37:J37"/>
    <mergeCell ref="L37:O37"/>
    <mergeCell ref="S37:V37"/>
    <mergeCell ref="X37:Z37"/>
    <mergeCell ref="AB37:AE37"/>
    <mergeCell ref="C40:F40"/>
    <mergeCell ref="H40:J40"/>
    <mergeCell ref="L40:O40"/>
    <mergeCell ref="S40:V40"/>
    <mergeCell ref="X40:Z40"/>
    <mergeCell ref="AB40:AE40"/>
    <mergeCell ref="C39:F39"/>
    <mergeCell ref="H39:J39"/>
    <mergeCell ref="L39:O39"/>
    <mergeCell ref="S39:V39"/>
    <mergeCell ref="X39:Z39"/>
    <mergeCell ref="AB39:AE39"/>
    <mergeCell ref="C42:F42"/>
    <mergeCell ref="H42:J42"/>
    <mergeCell ref="L42:O42"/>
    <mergeCell ref="S42:V42"/>
    <mergeCell ref="X42:Z42"/>
    <mergeCell ref="AB42:AE42"/>
    <mergeCell ref="C41:F41"/>
    <mergeCell ref="H41:J41"/>
    <mergeCell ref="L41:O41"/>
    <mergeCell ref="S41:V41"/>
    <mergeCell ref="X41:Z41"/>
    <mergeCell ref="AB41:AE41"/>
    <mergeCell ref="C44:F44"/>
    <mergeCell ref="H44:J44"/>
    <mergeCell ref="L44:O44"/>
    <mergeCell ref="S44:V44"/>
    <mergeCell ref="X44:Z44"/>
    <mergeCell ref="AB44:AE44"/>
    <mergeCell ref="C43:F43"/>
    <mergeCell ref="H43:J43"/>
    <mergeCell ref="L43:O43"/>
    <mergeCell ref="S43:V43"/>
    <mergeCell ref="X43:Z43"/>
    <mergeCell ref="AB43:AE43"/>
    <mergeCell ref="C46:F46"/>
    <mergeCell ref="H46:J46"/>
    <mergeCell ref="L46:O46"/>
    <mergeCell ref="S46:V46"/>
    <mergeCell ref="X46:Z46"/>
    <mergeCell ref="AB46:AE46"/>
    <mergeCell ref="C45:F45"/>
    <mergeCell ref="H45:J45"/>
    <mergeCell ref="L45:O45"/>
    <mergeCell ref="S45:V45"/>
    <mergeCell ref="X45:Z45"/>
    <mergeCell ref="AB45:AE45"/>
    <mergeCell ref="C49:F49"/>
    <mergeCell ref="H49:J49"/>
    <mergeCell ref="L49:O49"/>
    <mergeCell ref="S49:V49"/>
    <mergeCell ref="X49:Z49"/>
    <mergeCell ref="AB49:AE49"/>
    <mergeCell ref="C47:F47"/>
    <mergeCell ref="H47:J47"/>
    <mergeCell ref="L47:O47"/>
    <mergeCell ref="S47:V47"/>
    <mergeCell ref="X47:Z47"/>
    <mergeCell ref="AB47:AE47"/>
  </mergeCells>
  <dataValidations count="1">
    <dataValidation type="whole" operator="greaterThanOrEqual" allowBlank="1" showInputMessage="1" showErrorMessage="1" sqref="C36:C47 S36:S47 C14:C25 S14:S25 AP5">
      <formula1>0</formula1>
      <formula2>0</formula2>
    </dataValidation>
  </dataValidations>
  <hyperlinks>
    <hyperlink ref="AJ5:AN5" location="'IT-2 (Business &amp; Others)'!A1" display="Home"/>
  </hyperlinks>
  <pageMargins left="0.7" right="0.7" top="0.75" bottom="0.75" header="0.3" footer="0.3"/>
  <pageSetup orientation="portrait" horizontalDpi="0" verticalDpi="0"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29"/>
  <sheetViews>
    <sheetView workbookViewId="0">
      <selection activeCell="L1" sqref="L1"/>
    </sheetView>
  </sheetViews>
  <sheetFormatPr defaultRowHeight="13.2" x14ac:dyDescent="0.25"/>
  <cols>
    <col min="1" max="1" width="7.88671875" customWidth="1"/>
    <col min="2" max="3" width="13.88671875" customWidth="1"/>
    <col min="4" max="5" width="14.109375" customWidth="1"/>
    <col min="6" max="7" width="14.33203125" customWidth="1"/>
    <col min="8" max="8" width="13" bestFit="1" customWidth="1"/>
    <col min="9" max="9" width="14.44140625" customWidth="1"/>
    <col min="10" max="10" width="11.33203125" bestFit="1" customWidth="1"/>
    <col min="11" max="11" width="12.88671875" bestFit="1" customWidth="1"/>
    <col min="12" max="12" width="2.33203125" customWidth="1"/>
    <col min="13" max="13" width="22.44140625" bestFit="1" customWidth="1"/>
    <col min="14" max="14" width="12.33203125" bestFit="1" customWidth="1"/>
    <col min="15" max="15" width="16.33203125" bestFit="1" customWidth="1"/>
    <col min="16" max="16" width="13.5546875" bestFit="1" customWidth="1"/>
    <col min="17" max="17" width="13.88671875" bestFit="1" customWidth="1"/>
    <col min="18" max="18" width="14.88671875" bestFit="1" customWidth="1"/>
  </cols>
  <sheetData>
    <row r="1" spans="1:15" ht="18" x14ac:dyDescent="0.35">
      <c r="A1" s="1046" t="s">
        <v>713</v>
      </c>
      <c r="B1" s="1046"/>
      <c r="C1" s="1046"/>
      <c r="D1" s="1046"/>
      <c r="E1" s="1046"/>
      <c r="F1" s="1046"/>
      <c r="G1" s="1046"/>
      <c r="H1" s="1046"/>
      <c r="I1" s="675"/>
    </row>
    <row r="2" spans="1:15" ht="15" customHeight="1" x14ac:dyDescent="0.3">
      <c r="A2" s="292"/>
      <c r="B2" s="676"/>
      <c r="C2" s="676"/>
      <c r="D2" s="676"/>
      <c r="E2" s="677"/>
      <c r="F2" s="677"/>
      <c r="G2" s="677"/>
      <c r="H2" s="293"/>
      <c r="I2" s="293"/>
      <c r="K2" s="698"/>
    </row>
    <row r="3" spans="1:15" ht="15" thickBot="1" x14ac:dyDescent="0.35">
      <c r="A3" s="292"/>
      <c r="B3" s="292" t="s">
        <v>490</v>
      </c>
      <c r="C3" s="292"/>
      <c r="D3" s="292"/>
      <c r="E3" s="678"/>
      <c r="F3" s="677"/>
      <c r="G3" s="1075" t="s">
        <v>575</v>
      </c>
      <c r="H3" s="1075"/>
      <c r="I3" s="738" t="s">
        <v>751</v>
      </c>
      <c r="K3" s="356"/>
      <c r="M3" s="356"/>
      <c r="O3" s="356"/>
    </row>
    <row r="4" spans="1:15" ht="15" thickBot="1" x14ac:dyDescent="0.35">
      <c r="A4" s="292"/>
      <c r="B4" s="294" t="s">
        <v>491</v>
      </c>
      <c r="C4" s="295"/>
      <c r="D4" s="679"/>
      <c r="E4" s="680">
        <f>G21</f>
        <v>0</v>
      </c>
      <c r="F4" s="1048" t="s">
        <v>591</v>
      </c>
      <c r="G4" s="1048"/>
      <c r="H4" s="1049"/>
      <c r="I4" s="681" t="e">
        <f>I21-I3</f>
        <v>#VALUE!</v>
      </c>
      <c r="K4" s="698"/>
      <c r="M4" s="356"/>
    </row>
    <row r="5" spans="1:15" ht="14.4" thickTop="1" thickBot="1" x14ac:dyDescent="0.3">
      <c r="A5" s="292"/>
      <c r="B5" s="292"/>
      <c r="C5" s="292"/>
      <c r="D5" s="292"/>
      <c r="E5" s="292"/>
      <c r="F5" s="292"/>
      <c r="G5" s="292"/>
      <c r="H5" s="293"/>
      <c r="I5" s="293"/>
      <c r="K5" s="356"/>
    </row>
    <row r="6" spans="1:15" ht="53.4" thickBot="1" x14ac:dyDescent="0.3">
      <c r="A6" s="314" t="s">
        <v>492</v>
      </c>
      <c r="B6" s="315" t="s">
        <v>493</v>
      </c>
      <c r="C6" s="315" t="s">
        <v>483</v>
      </c>
      <c r="D6" s="315" t="s">
        <v>494</v>
      </c>
      <c r="E6" s="315" t="s">
        <v>495</v>
      </c>
      <c r="F6" s="315" t="s">
        <v>496</v>
      </c>
      <c r="G6" s="315" t="s">
        <v>604</v>
      </c>
      <c r="H6" s="359" t="s">
        <v>497</v>
      </c>
      <c r="I6" s="371" t="s">
        <v>576</v>
      </c>
    </row>
    <row r="7" spans="1:15" ht="14.4" x14ac:dyDescent="0.3">
      <c r="A7" s="682">
        <v>1</v>
      </c>
      <c r="B7" s="683">
        <v>0</v>
      </c>
      <c r="C7" s="684"/>
      <c r="D7" s="712">
        <v>600000</v>
      </c>
      <c r="E7" s="685">
        <v>0</v>
      </c>
      <c r="F7" s="683">
        <v>0</v>
      </c>
      <c r="G7" s="368">
        <f>E3</f>
        <v>0</v>
      </c>
      <c r="H7" s="368">
        <f t="shared" ref="H7:H13" si="0">IF(AND(G7&gt;=B7,G7&lt;D7),(G7-B7)*E7+F7,0)</f>
        <v>0</v>
      </c>
      <c r="I7" s="370">
        <f>IF(AND(I3&gt;=F7,I3&lt;F8),(I3-F7)/E7+B7,0)</f>
        <v>0</v>
      </c>
      <c r="K7" s="477"/>
      <c r="M7" s="356"/>
    </row>
    <row r="8" spans="1:15" ht="14.4" x14ac:dyDescent="0.3">
      <c r="A8" s="682">
        <v>2</v>
      </c>
      <c r="B8" s="683">
        <f t="shared" ref="B8:B13" si="1">D7</f>
        <v>600000</v>
      </c>
      <c r="C8" s="686" t="s">
        <v>498</v>
      </c>
      <c r="D8" s="712">
        <v>800000</v>
      </c>
      <c r="E8" s="685">
        <v>7.4999999999999997E-2</v>
      </c>
      <c r="F8" s="358"/>
      <c r="G8" s="368">
        <f>E3</f>
        <v>0</v>
      </c>
      <c r="H8" s="368">
        <f t="shared" si="0"/>
        <v>0</v>
      </c>
      <c r="I8" s="369">
        <f>IF(AND(I3&gt;=F8,I3&lt;F9),(I3-F8)/E8+B8,0)</f>
        <v>0</v>
      </c>
      <c r="K8" s="477"/>
      <c r="M8" s="687"/>
    </row>
    <row r="9" spans="1:15" ht="14.4" x14ac:dyDescent="0.3">
      <c r="A9" s="682">
        <v>3</v>
      </c>
      <c r="B9" s="683">
        <f t="shared" si="1"/>
        <v>800000</v>
      </c>
      <c r="C9" s="686" t="s">
        <v>498</v>
      </c>
      <c r="D9" s="712">
        <v>1200000</v>
      </c>
      <c r="E9" s="711">
        <v>0.15</v>
      </c>
      <c r="F9" s="712">
        <f t="shared" ref="F9:F12" si="2">F8 + (D8-D7) *E8</f>
        <v>15000</v>
      </c>
      <c r="G9" s="368">
        <f>E3</f>
        <v>0</v>
      </c>
      <c r="H9" s="368">
        <f t="shared" si="0"/>
        <v>0</v>
      </c>
      <c r="I9" s="370">
        <f>IF(AND(I3&gt;=F9,I3&lt;F10),(I3-F9)/E9+B9,0)</f>
        <v>0</v>
      </c>
      <c r="M9" s="356"/>
    </row>
    <row r="10" spans="1:15" ht="14.4" x14ac:dyDescent="0.3">
      <c r="A10" s="682">
        <v>4</v>
      </c>
      <c r="B10" s="683">
        <f t="shared" si="1"/>
        <v>1200000</v>
      </c>
      <c r="C10" s="686" t="s">
        <v>498</v>
      </c>
      <c r="D10" s="712">
        <v>2400000</v>
      </c>
      <c r="E10" s="711">
        <v>0.2</v>
      </c>
      <c r="F10" s="712">
        <f t="shared" si="2"/>
        <v>75000</v>
      </c>
      <c r="G10" s="368">
        <f>E3</f>
        <v>0</v>
      </c>
      <c r="H10" s="368">
        <f t="shared" si="0"/>
        <v>0</v>
      </c>
      <c r="I10" s="369">
        <f>IF(AND(I3&gt;=F10,I3&lt;F11),(I3-F10)/E10+B10,0)</f>
        <v>0</v>
      </c>
      <c r="M10" s="356"/>
    </row>
    <row r="11" spans="1:15" ht="14.4" x14ac:dyDescent="0.3">
      <c r="A11" s="682">
        <v>5</v>
      </c>
      <c r="B11" s="683">
        <f t="shared" si="1"/>
        <v>2400000</v>
      </c>
      <c r="C11" s="686" t="s">
        <v>498</v>
      </c>
      <c r="D11" s="712">
        <v>3000000</v>
      </c>
      <c r="E11" s="711">
        <v>0.25</v>
      </c>
      <c r="F11" s="712">
        <f t="shared" si="2"/>
        <v>315000</v>
      </c>
      <c r="G11" s="368">
        <f>E3</f>
        <v>0</v>
      </c>
      <c r="H11" s="688">
        <f t="shared" si="0"/>
        <v>0</v>
      </c>
      <c r="I11" s="370">
        <f>IF(AND(I3&gt;=F11,I3&lt;F12),(I3-F11)/E11+B11,0)</f>
        <v>0</v>
      </c>
      <c r="M11" s="356"/>
    </row>
    <row r="12" spans="1:15" ht="14.4" x14ac:dyDescent="0.3">
      <c r="A12" s="682">
        <v>6</v>
      </c>
      <c r="B12" s="683">
        <f t="shared" si="1"/>
        <v>3000000</v>
      </c>
      <c r="C12" s="686" t="s">
        <v>498</v>
      </c>
      <c r="D12" s="712">
        <v>4000000</v>
      </c>
      <c r="E12" s="711">
        <v>0.3</v>
      </c>
      <c r="F12" s="712">
        <f t="shared" si="2"/>
        <v>465000</v>
      </c>
      <c r="G12" s="368">
        <f>E3</f>
        <v>0</v>
      </c>
      <c r="H12" s="688">
        <f t="shared" si="0"/>
        <v>0</v>
      </c>
      <c r="I12" s="369">
        <f>IF(AND(I3&gt;=F12,I3&lt;F13),(I3-F12)/E12+B12,0)</f>
        <v>0</v>
      </c>
      <c r="M12" s="356"/>
    </row>
    <row r="13" spans="1:15" ht="14.4" x14ac:dyDescent="0.3">
      <c r="A13" s="682">
        <v>7</v>
      </c>
      <c r="B13" s="683">
        <f t="shared" si="1"/>
        <v>4000000</v>
      </c>
      <c r="C13" s="686" t="s">
        <v>498</v>
      </c>
      <c r="D13" s="358">
        <v>999999999999999</v>
      </c>
      <c r="E13" s="711">
        <v>0.35</v>
      </c>
      <c r="F13" s="712">
        <f>F12 + (D12-D11) *E12</f>
        <v>765000</v>
      </c>
      <c r="G13" s="368">
        <f>E3</f>
        <v>0</v>
      </c>
      <c r="H13" s="688">
        <f t="shared" si="0"/>
        <v>0</v>
      </c>
      <c r="I13" s="370">
        <f>IF(AND(I3&gt;=F13,I3&lt;F14),(I3-F13)/E13+B13,0)</f>
        <v>0</v>
      </c>
    </row>
    <row r="14" spans="1:15" ht="14.4" x14ac:dyDescent="0.3">
      <c r="A14" s="682"/>
      <c r="B14" s="683"/>
      <c r="C14" s="686"/>
      <c r="D14" s="358">
        <v>999999999999999</v>
      </c>
      <c r="E14" s="711"/>
      <c r="F14" s="358">
        <v>999999999999999</v>
      </c>
      <c r="G14" s="368">
        <f>E3</f>
        <v>0</v>
      </c>
      <c r="H14" s="689">
        <v>0</v>
      </c>
      <c r="I14" s="690">
        <f>IF(AND(I3&gt;=F14,I3&lt;F15),(I3-F14)/E14+B14,0)</f>
        <v>0</v>
      </c>
    </row>
    <row r="15" spans="1:15" ht="14.4" x14ac:dyDescent="0.3">
      <c r="A15" s="691"/>
      <c r="B15" s="683"/>
      <c r="C15" s="684"/>
      <c r="D15" s="683"/>
      <c r="E15" s="685"/>
      <c r="F15" s="358"/>
      <c r="G15" s="683"/>
      <c r="H15" s="683"/>
      <c r="I15" s="692"/>
    </row>
    <row r="16" spans="1:15" ht="14.4" x14ac:dyDescent="0.3">
      <c r="A16" s="691"/>
      <c r="B16" s="683"/>
      <c r="C16" s="684"/>
      <c r="D16" s="683"/>
      <c r="E16" s="685"/>
      <c r="F16" s="683"/>
      <c r="G16" s="683"/>
      <c r="H16" s="683"/>
      <c r="I16" s="690"/>
    </row>
    <row r="17" spans="1:15" ht="14.4" x14ac:dyDescent="0.3">
      <c r="A17" s="691"/>
      <c r="B17" s="683"/>
      <c r="C17" s="684"/>
      <c r="D17" s="683"/>
      <c r="E17" s="685"/>
      <c r="F17" s="683"/>
      <c r="G17" s="683"/>
      <c r="H17" s="683"/>
      <c r="I17" s="692"/>
    </row>
    <row r="18" spans="1:15" ht="14.4" x14ac:dyDescent="0.3">
      <c r="A18" s="691"/>
      <c r="B18" s="683"/>
      <c r="C18" s="684"/>
      <c r="D18" s="683"/>
      <c r="E18" s="685"/>
      <c r="F18" s="683"/>
      <c r="G18" s="683"/>
      <c r="H18" s="683"/>
      <c r="I18" s="690"/>
      <c r="M18" s="356"/>
    </row>
    <row r="19" spans="1:15" ht="14.4" x14ac:dyDescent="0.3">
      <c r="A19" s="691"/>
      <c r="B19" s="683"/>
      <c r="C19" s="684"/>
      <c r="D19" s="683"/>
      <c r="E19" s="693"/>
      <c r="F19" s="693"/>
      <c r="G19" s="684"/>
      <c r="H19" s="684"/>
      <c r="I19" s="694"/>
      <c r="M19" s="356"/>
    </row>
    <row r="20" spans="1:15" ht="15" thickBot="1" x14ac:dyDescent="0.35">
      <c r="A20" s="691"/>
      <c r="B20" s="684"/>
      <c r="C20" s="684"/>
      <c r="D20" s="684"/>
      <c r="E20" s="693"/>
      <c r="F20" s="693"/>
      <c r="G20" s="684"/>
      <c r="H20" s="684"/>
      <c r="I20" s="695"/>
      <c r="M20" s="356"/>
    </row>
    <row r="21" spans="1:15" ht="15" thickBot="1" x14ac:dyDescent="0.35">
      <c r="A21" s="691"/>
      <c r="B21" s="684"/>
      <c r="C21" s="684" t="s">
        <v>499</v>
      </c>
      <c r="D21" s="684"/>
      <c r="E21" s="693"/>
      <c r="F21" s="693"/>
      <c r="G21" s="684">
        <f>SUBTOTAL(109,H7:H20)</f>
        <v>0</v>
      </c>
      <c r="H21" s="684"/>
      <c r="I21" s="696">
        <f>SUBTOTAL(109,I7:I20)</f>
        <v>0</v>
      </c>
      <c r="M21" s="356"/>
    </row>
    <row r="22" spans="1:15" ht="15" thickBot="1" x14ac:dyDescent="0.35">
      <c r="A22" s="691"/>
      <c r="B22" s="684"/>
      <c r="C22" s="684"/>
      <c r="D22" s="684"/>
      <c r="E22" s="693"/>
      <c r="F22" s="693"/>
      <c r="G22" s="684"/>
      <c r="H22" s="684"/>
      <c r="I22" s="697"/>
      <c r="M22" s="356"/>
    </row>
    <row r="23" spans="1:15" x14ac:dyDescent="0.25">
      <c r="M23" s="356"/>
    </row>
    <row r="29" spans="1:15" x14ac:dyDescent="0.25">
      <c r="O29" s="277"/>
    </row>
  </sheetData>
  <mergeCells count="3">
    <mergeCell ref="A1:H1"/>
    <mergeCell ref="G3:H3"/>
    <mergeCell ref="F4:H4"/>
  </mergeCells>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20</vt:i4>
      </vt:variant>
    </vt:vector>
  </HeadingPairs>
  <TitlesOfParts>
    <vt:vector size="36" baseType="lpstr">
      <vt:lpstr>Instructions</vt:lpstr>
      <vt:lpstr>DISCLAIMER</vt:lpstr>
      <vt:lpstr>PROFILE</vt:lpstr>
      <vt:lpstr>Work Sheet</vt:lpstr>
      <vt:lpstr>IND (BUS PLUS)</vt:lpstr>
      <vt:lpstr>Annex-A</vt:lpstr>
      <vt:lpstr>Annex-B</vt:lpstr>
      <vt:lpstr>Annex-F</vt:lpstr>
      <vt:lpstr>Wealth Statement</vt:lpstr>
      <vt:lpstr>Annex-C</vt:lpstr>
      <vt:lpstr>Annex-D</vt:lpstr>
      <vt:lpstr>Annex-E</vt:lpstr>
      <vt:lpstr>MINIMUM TAX </vt:lpstr>
      <vt:lpstr>ELEC (COMM)</vt:lpstr>
      <vt:lpstr>ELEC (IND)</vt:lpstr>
      <vt:lpstr>NORMAL &amp; PRES INCOME(IND &amp; AOP)</vt:lpstr>
      <vt:lpstr>__xlnm.Print_Area</vt:lpstr>
      <vt:lpstr>__xlnm.Print_Area_1</vt:lpstr>
      <vt:lpstr>__xlnm.Print_Area_2</vt:lpstr>
      <vt:lpstr>__xlnm.Print_Area_3</vt:lpstr>
      <vt:lpstr>__xlnm.Print_Area_4</vt:lpstr>
      <vt:lpstr>__xlnm.Print_Area_5</vt:lpstr>
      <vt:lpstr>__xlnm.Print_Area_6</vt:lpstr>
      <vt:lpstr>__xlnm.Print_Area_8</vt:lpstr>
      <vt:lpstr>CNIC</vt:lpstr>
      <vt:lpstr>Fourteen</vt:lpstr>
      <vt:lpstr>'Annex-A'!Print_Area</vt:lpstr>
      <vt:lpstr>'Annex-B'!Print_Area</vt:lpstr>
      <vt:lpstr>'Annex-C'!Print_Area</vt:lpstr>
      <vt:lpstr>'Annex-D'!Print_Area</vt:lpstr>
      <vt:lpstr>'Annex-E'!Print_Area</vt:lpstr>
      <vt:lpstr>'Annex-F'!Print_Area</vt:lpstr>
      <vt:lpstr>'IND (BUS PLUS)'!Print_Area</vt:lpstr>
      <vt:lpstr>PROFILE!Print_Area</vt:lpstr>
      <vt:lpstr>'Wealth Statement'!Print_Area</vt:lpstr>
      <vt:lpstr>Ten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RAHIL</dc:creator>
  <cp:lastModifiedBy>Lenovo</cp:lastModifiedBy>
  <cp:lastPrinted>2024-07-16T18:44:00Z</cp:lastPrinted>
  <dcterms:created xsi:type="dcterms:W3CDTF">2015-06-24T04:24:08Z</dcterms:created>
  <dcterms:modified xsi:type="dcterms:W3CDTF">2024-07-18T16:07:25Z</dcterms:modified>
</cp:coreProperties>
</file>